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charts/chart8.xml" ContentType="application/vnd.openxmlformats-officedocument.drawingml.chart+xml"/>
  <Override PartName="/xl/drawings/drawing10.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tat.ad.ncsu.edu\Redirect\eghohmei\Documents\Teaching\Teaching 2017 Spring\ST542-601\Projects\Yeast Drying\"/>
    </mc:Choice>
  </mc:AlternateContent>
  <bookViews>
    <workbookView xWindow="0" yWindow="0" windowWidth="28800" windowHeight="12435" activeTab="4"/>
  </bookViews>
  <sheets>
    <sheet name="MVK Drying 41516" sheetId="1" r:id="rId1"/>
    <sheet name="MVK Drying 4816" sheetId="2" r:id="rId2"/>
    <sheet name="MVK Drying 4116" sheetId="3" r:id="rId3"/>
    <sheet name="MVK Paper 33116" sheetId="4" r:id="rId4"/>
    <sheet name="JW 111915" sheetId="5" r:id="rId5"/>
    <sheet name="MVK Paper 32416" sheetId="6" r:id="rId6"/>
    <sheet name="MVK Drying 31816" sheetId="7" r:id="rId7"/>
    <sheet name="MJS Drying 31116" sheetId="8" r:id="rId8"/>
    <sheet name="MVK Drying 3216" sheetId="9" r:id="rId9"/>
    <sheet name="MVK Drying 22616" sheetId="10" r:id="rId10"/>
    <sheet name="MJS Drying 21916" sheetId="11" r:id="rId11"/>
    <sheet name="MVK Drying 21216" sheetId="12" r:id="rId12"/>
    <sheet name="MVK Drying 2516" sheetId="13" r:id="rId13"/>
    <sheet name="MVK Drying 12916" sheetId="14" r:id="rId14"/>
    <sheet name="MJS Drying 12216" sheetId="15" r:id="rId15"/>
    <sheet name="MVK Drying 11516" sheetId="16" r:id="rId16"/>
    <sheet name="REK Drying 12415" sheetId="17" r:id="rId17"/>
    <sheet name="JW 12815" sheetId="18" r:id="rId18"/>
    <sheet name="JW 12315" sheetId="19" r:id="rId19"/>
    <sheet name="REK Drying 112015" sheetId="20" r:id="rId20"/>
    <sheet name="NFW Continuous 111215" sheetId="21" r:id="rId21"/>
    <sheet name="MRR Parity 111615" sheetId="22" r:id="rId22"/>
    <sheet name="REK drying 111315" sheetId="23" r:id="rId23"/>
    <sheet name="MVK continuous 111215" sheetId="24" r:id="rId24"/>
    <sheet name="JW 111215" sheetId="25" r:id="rId25"/>
    <sheet name="while MJS away week of 11915" sheetId="26" r:id="rId26"/>
    <sheet name="MVK Drying 1162015" sheetId="27" r:id="rId27"/>
    <sheet name="JW 11515" sheetId="28" r:id="rId28"/>
    <sheet name="drying calib JW 11315" sheetId="29" r:id="rId29"/>
    <sheet name="REK Drying 103015" sheetId="30" r:id="rId30"/>
    <sheet name="MJS continuous 102915" sheetId="31" r:id="rId31"/>
    <sheet name="REK Drying 102315" sheetId="32" r:id="rId32"/>
    <sheet name="MJS liquid product 102215" sheetId="33" r:id="rId33"/>
    <sheet name="JBW water losing on paper 10221" sheetId="34" r:id="rId34"/>
    <sheet name="REK Drying 101615" sheetId="35" r:id="rId35"/>
    <sheet name="MJS liquid product 101515" sheetId="36" r:id="rId36"/>
    <sheet name="REK Drying 10915" sheetId="37" r:id="rId37"/>
    <sheet name="MJS liquid product 10815" sheetId="38" r:id="rId38"/>
    <sheet name="REK Drying 10215" sheetId="39" r:id="rId39"/>
    <sheet name="MJS liquid product 10115" sheetId="40" r:id="rId40"/>
    <sheet name="REK Drying 925" sheetId="41" r:id="rId41"/>
    <sheet name="REK drying 91815" sheetId="42" r:id="rId42"/>
    <sheet name="MJS liquid product 91715" sheetId="43" r:id="rId43"/>
    <sheet name="JW 91515" sheetId="44" r:id="rId44"/>
    <sheet name="REK drying 91115" sheetId="45" r:id="rId45"/>
    <sheet name="MJS liquid product 91015" sheetId="46" r:id="rId46"/>
    <sheet name="REK liquid product 9415" sheetId="47" r:id="rId47"/>
    <sheet name="REK drying 82815" sheetId="48" r:id="rId48"/>
    <sheet name="CRS drying 72415" sheetId="49" r:id="rId49"/>
    <sheet name="CRS drying 72315" sheetId="50" r:id="rId50"/>
    <sheet name="CRS drying 71015" sheetId="51" r:id="rId51"/>
    <sheet name="CRS schedule summer 2015" sheetId="52" r:id="rId52"/>
    <sheet name="MJS drying 61915" sheetId="53" r:id="rId53"/>
    <sheet name="MJS drying 61715" sheetId="54" r:id="rId54"/>
    <sheet name="MJS drying 61215" sheetId="55" r:id="rId55"/>
    <sheet name="MJS substrate 61115" sheetId="56" r:id="rId56"/>
    <sheet name="MJS drying 60515" sheetId="57" r:id="rId57"/>
    <sheet name="MJS substratepressure 6415" sheetId="58" r:id="rId58"/>
    <sheet name="Liquid analysis 52715 " sheetId="59" r:id="rId59"/>
    <sheet name="Liquid analysis 52615 " sheetId="60" r:id="rId60"/>
    <sheet name="MJS drying 52215" sheetId="61" r:id="rId61"/>
    <sheet name="MJS long drying 52115" sheetId="62" r:id="rId62"/>
    <sheet name="MJS low power 52115" sheetId="63" r:id="rId63"/>
    <sheet name="liquid analysis from 51815 " sheetId="64" r:id="rId64"/>
  </sheets>
  <calcPr calcId="152511"/>
</workbook>
</file>

<file path=xl/calcChain.xml><?xml version="1.0" encoding="utf-8"?>
<calcChain xmlns="http://schemas.openxmlformats.org/spreadsheetml/2006/main">
  <c r="C35" i="64" l="1"/>
  <c r="C36" i="64" s="1"/>
  <c r="C37" i="64" s="1"/>
  <c r="C6" i="64"/>
  <c r="C7" i="64" s="1"/>
  <c r="C10" i="64" s="1"/>
  <c r="C11" i="64" s="1"/>
  <c r="C12" i="64" s="1"/>
  <c r="C13" i="64" s="1"/>
  <c r="C14" i="64" s="1"/>
  <c r="C15" i="64" s="1"/>
  <c r="C16" i="64" s="1"/>
  <c r="C17" i="64" s="1"/>
  <c r="C18" i="64" s="1"/>
  <c r="C19" i="64" s="1"/>
  <c r="C20" i="64" s="1"/>
  <c r="C21" i="64" s="1"/>
  <c r="C22" i="64" s="1"/>
  <c r="C23" i="64" s="1"/>
  <c r="C24" i="64" s="1"/>
  <c r="C25" i="64" s="1"/>
  <c r="C26" i="64" s="1"/>
  <c r="C27" i="64" s="1"/>
  <c r="C28" i="64" s="1"/>
  <c r="C29" i="64" s="1"/>
  <c r="C30" i="64" s="1"/>
  <c r="C31" i="64" s="1"/>
  <c r="C32" i="64" s="1"/>
  <c r="C33" i="64" s="1"/>
  <c r="D5" i="64"/>
  <c r="D6" i="64" s="1"/>
  <c r="D7" i="64" s="1"/>
  <c r="D8" i="64" s="1"/>
  <c r="D9" i="64" s="1"/>
  <c r="D10" i="64" s="1"/>
  <c r="D11" i="64" s="1"/>
  <c r="D12" i="64" s="1"/>
  <c r="D13" i="64" s="1"/>
  <c r="D14" i="64" s="1"/>
  <c r="D15" i="64" s="1"/>
  <c r="D16" i="64" s="1"/>
  <c r="D17" i="64" s="1"/>
  <c r="D18" i="64" s="1"/>
  <c r="D19" i="64" s="1"/>
  <c r="D20" i="64" s="1"/>
  <c r="D21" i="64" s="1"/>
  <c r="D22" i="64" s="1"/>
  <c r="D23" i="64" s="1"/>
  <c r="D24" i="64" s="1"/>
  <c r="D25" i="64" s="1"/>
  <c r="D26" i="64" s="1"/>
  <c r="D27" i="64" s="1"/>
  <c r="D28" i="64" s="1"/>
  <c r="D29" i="64" s="1"/>
  <c r="D30" i="64" s="1"/>
  <c r="D31" i="64" s="1"/>
  <c r="D32" i="64" s="1"/>
  <c r="D33" i="64" s="1"/>
  <c r="D34" i="64" s="1"/>
  <c r="D35" i="64" s="1"/>
  <c r="D36" i="64" s="1"/>
  <c r="D37" i="64" s="1"/>
  <c r="D38" i="64" s="1"/>
  <c r="D39" i="64" s="1"/>
  <c r="C5" i="64"/>
  <c r="J23" i="63"/>
  <c r="K23" i="63" s="1"/>
  <c r="I18" i="63"/>
  <c r="C18" i="63"/>
  <c r="D16" i="63"/>
  <c r="D15" i="63"/>
  <c r="D14" i="63"/>
  <c r="D13" i="63"/>
  <c r="D12" i="63"/>
  <c r="D11" i="63"/>
  <c r="D10" i="63"/>
  <c r="D9" i="63"/>
  <c r="D8" i="63"/>
  <c r="D7" i="63"/>
  <c r="D6" i="63"/>
  <c r="D5" i="63"/>
  <c r="J23" i="62"/>
  <c r="K23" i="62" s="1"/>
  <c r="I18" i="62"/>
  <c r="C18" i="62"/>
  <c r="D13" i="62"/>
  <c r="D12" i="62"/>
  <c r="D11" i="62"/>
  <c r="D10" i="62"/>
  <c r="D9" i="62"/>
  <c r="D8" i="62"/>
  <c r="D7" i="62"/>
  <c r="D6" i="62"/>
  <c r="D5" i="62"/>
  <c r="K29" i="61"/>
  <c r="J29" i="61"/>
  <c r="J27" i="61"/>
  <c r="K27" i="61" s="1"/>
  <c r="J25" i="61"/>
  <c r="K25" i="61" s="1"/>
  <c r="J23" i="61"/>
  <c r="K23" i="61" s="1"/>
  <c r="I18" i="61"/>
  <c r="C18" i="61"/>
  <c r="D16" i="61"/>
  <c r="D15" i="61"/>
  <c r="D14" i="61"/>
  <c r="D13" i="61"/>
  <c r="D12" i="61"/>
  <c r="D11" i="61"/>
  <c r="D10" i="61"/>
  <c r="D9" i="61"/>
  <c r="D8" i="61"/>
  <c r="D7" i="61"/>
  <c r="D6" i="61"/>
  <c r="D5" i="61"/>
  <c r="F25" i="60"/>
  <c r="F24" i="60"/>
  <c r="F23" i="60"/>
  <c r="C23" i="60"/>
  <c r="C24" i="60" s="1"/>
  <c r="C25" i="60" s="1"/>
  <c r="D5" i="60"/>
  <c r="D6" i="60" s="1"/>
  <c r="D7" i="60" s="1"/>
  <c r="D8" i="60" s="1"/>
  <c r="D9" i="60" s="1"/>
  <c r="D10" i="60" s="1"/>
  <c r="D11" i="60" s="1"/>
  <c r="D12" i="60" s="1"/>
  <c r="D13" i="60" s="1"/>
  <c r="D14" i="60" s="1"/>
  <c r="D15" i="60" s="1"/>
  <c r="D16" i="60" s="1"/>
  <c r="D17" i="60" s="1"/>
  <c r="D18" i="60" s="1"/>
  <c r="D19" i="60" s="1"/>
  <c r="D20" i="60" s="1"/>
  <c r="D21" i="60" s="1"/>
  <c r="D22" i="60" s="1"/>
  <c r="D23" i="60" s="1"/>
  <c r="D24" i="60" s="1"/>
  <c r="D25" i="60" s="1"/>
  <c r="D26" i="60" s="1"/>
  <c r="D27" i="60" s="1"/>
  <c r="C5" i="60"/>
  <c r="C6" i="60" s="1"/>
  <c r="C7" i="60" s="1"/>
  <c r="C10" i="60" s="1"/>
  <c r="C11" i="60" s="1"/>
  <c r="C12" i="60" s="1"/>
  <c r="C13" i="60" s="1"/>
  <c r="C14" i="60" s="1"/>
  <c r="C15" i="60" s="1"/>
  <c r="C16" i="60" s="1"/>
  <c r="C17" i="60" s="1"/>
  <c r="C18" i="60" s="1"/>
  <c r="C19" i="60" s="1"/>
  <c r="C20" i="60" s="1"/>
  <c r="C21" i="60" s="1"/>
  <c r="C23" i="59"/>
  <c r="C24" i="59" s="1"/>
  <c r="C25" i="59" s="1"/>
  <c r="C6" i="59"/>
  <c r="C7" i="59" s="1"/>
  <c r="C10" i="59" s="1"/>
  <c r="C11" i="59" s="1"/>
  <c r="C12" i="59" s="1"/>
  <c r="C13" i="59" s="1"/>
  <c r="C14" i="59" s="1"/>
  <c r="C15" i="59" s="1"/>
  <c r="C16" i="59" s="1"/>
  <c r="C17" i="59" s="1"/>
  <c r="C18" i="59" s="1"/>
  <c r="C19" i="59" s="1"/>
  <c r="C20" i="59" s="1"/>
  <c r="C21" i="59" s="1"/>
  <c r="D5" i="59"/>
  <c r="D6" i="59" s="1"/>
  <c r="D7" i="59" s="1"/>
  <c r="D8" i="59" s="1"/>
  <c r="D9" i="59" s="1"/>
  <c r="D10" i="59" s="1"/>
  <c r="D11" i="59" s="1"/>
  <c r="D12" i="59" s="1"/>
  <c r="D13" i="59" s="1"/>
  <c r="D14" i="59" s="1"/>
  <c r="D15" i="59" s="1"/>
  <c r="D16" i="59" s="1"/>
  <c r="D17" i="59" s="1"/>
  <c r="D18" i="59" s="1"/>
  <c r="D19" i="59" s="1"/>
  <c r="D20" i="59" s="1"/>
  <c r="D21" i="59" s="1"/>
  <c r="D22" i="59" s="1"/>
  <c r="D23" i="59" s="1"/>
  <c r="D24" i="59" s="1"/>
  <c r="D25" i="59" s="1"/>
  <c r="D26" i="59" s="1"/>
  <c r="D27" i="59" s="1"/>
  <c r="C5" i="59"/>
  <c r="J23" i="58"/>
  <c r="K23" i="58" s="1"/>
  <c r="I18" i="58"/>
  <c r="C18" i="58"/>
  <c r="T16" i="58"/>
  <c r="D16" i="58"/>
  <c r="T15" i="58"/>
  <c r="D15" i="58"/>
  <c r="T14" i="58"/>
  <c r="D14" i="58"/>
  <c r="T13" i="58"/>
  <c r="D13" i="58"/>
  <c r="T12" i="58"/>
  <c r="D12" i="58"/>
  <c r="T11" i="58"/>
  <c r="D11" i="58"/>
  <c r="T10" i="58"/>
  <c r="D10" i="58"/>
  <c r="T9" i="58"/>
  <c r="D9" i="58"/>
  <c r="T8" i="58"/>
  <c r="D8" i="58"/>
  <c r="T7" i="58"/>
  <c r="D7" i="58"/>
  <c r="T6" i="58"/>
  <c r="D6" i="58"/>
  <c r="T5" i="58"/>
  <c r="D5" i="58"/>
  <c r="K26" i="57"/>
  <c r="L26" i="57" s="1"/>
  <c r="J21" i="57"/>
  <c r="C21" i="57"/>
  <c r="T19" i="57"/>
  <c r="D19" i="57"/>
  <c r="T18" i="57"/>
  <c r="D18" i="57"/>
  <c r="T17" i="57"/>
  <c r="U17" i="57" s="1"/>
  <c r="D17" i="57"/>
  <c r="T16" i="57"/>
  <c r="D16" i="57"/>
  <c r="T15" i="57"/>
  <c r="D15" i="57"/>
  <c r="T14" i="57"/>
  <c r="U14" i="57" s="1"/>
  <c r="D14" i="57"/>
  <c r="T13" i="57"/>
  <c r="D13" i="57"/>
  <c r="T12" i="57"/>
  <c r="D12" i="57"/>
  <c r="T11" i="57"/>
  <c r="U11" i="57" s="1"/>
  <c r="D11" i="57"/>
  <c r="T10" i="57"/>
  <c r="D10" i="57"/>
  <c r="T9" i="57"/>
  <c r="D9" i="57"/>
  <c r="T8" i="57"/>
  <c r="U8" i="57" s="1"/>
  <c r="D8" i="57"/>
  <c r="T7" i="57"/>
  <c r="D7" i="57"/>
  <c r="T6" i="57"/>
  <c r="D6" i="57"/>
  <c r="T5" i="57"/>
  <c r="U5" i="57" s="1"/>
  <c r="D5" i="57"/>
  <c r="K23" i="56"/>
  <c r="J23" i="56"/>
  <c r="I18" i="56"/>
  <c r="C18" i="56"/>
  <c r="S16" i="56"/>
  <c r="D16" i="56"/>
  <c r="S15" i="56"/>
  <c r="D15" i="56"/>
  <c r="S14" i="56"/>
  <c r="D14" i="56"/>
  <c r="S13" i="56"/>
  <c r="D13" i="56"/>
  <c r="S12" i="56"/>
  <c r="D12" i="56"/>
  <c r="S11" i="56"/>
  <c r="D11" i="56"/>
  <c r="S10" i="56"/>
  <c r="D10" i="56"/>
  <c r="S9" i="56"/>
  <c r="D9" i="56"/>
  <c r="S8" i="56"/>
  <c r="D8" i="56"/>
  <c r="S7" i="56"/>
  <c r="D7" i="56"/>
  <c r="S6" i="56"/>
  <c r="D6" i="56"/>
  <c r="S5" i="56"/>
  <c r="D5" i="56"/>
  <c r="K29" i="55"/>
  <c r="J29" i="55"/>
  <c r="K28" i="55"/>
  <c r="K27" i="55"/>
  <c r="L27" i="55" s="1"/>
  <c r="K25" i="55"/>
  <c r="L25" i="55" s="1"/>
  <c r="J20" i="55"/>
  <c r="C20" i="55"/>
  <c r="T19" i="55"/>
  <c r="D19" i="55"/>
  <c r="T18" i="55"/>
  <c r="D18" i="55"/>
  <c r="T17" i="55"/>
  <c r="U17" i="55" s="1"/>
  <c r="D17" i="55"/>
  <c r="T16" i="55"/>
  <c r="D16" i="55"/>
  <c r="T15" i="55"/>
  <c r="D15" i="55"/>
  <c r="U14" i="55"/>
  <c r="T14" i="55"/>
  <c r="D14" i="55"/>
  <c r="T13" i="55"/>
  <c r="D13" i="55"/>
  <c r="T12" i="55"/>
  <c r="D12" i="55"/>
  <c r="T11" i="55"/>
  <c r="U11" i="55" s="1"/>
  <c r="D11" i="55"/>
  <c r="T10" i="55"/>
  <c r="D10" i="55"/>
  <c r="T9" i="55"/>
  <c r="D9" i="55"/>
  <c r="U8" i="55"/>
  <c r="T8" i="55"/>
  <c r="D8" i="55"/>
  <c r="T7" i="55"/>
  <c r="D7" i="55"/>
  <c r="T6" i="55"/>
  <c r="D6" i="55"/>
  <c r="T5" i="55"/>
  <c r="U5" i="55" s="1"/>
  <c r="D5" i="55"/>
  <c r="L28" i="54"/>
  <c r="K28" i="54"/>
  <c r="L26" i="54"/>
  <c r="K26" i="54"/>
  <c r="J21" i="54"/>
  <c r="C21" i="54"/>
  <c r="U17" i="54"/>
  <c r="D17" i="54"/>
  <c r="U16" i="54"/>
  <c r="V15" i="54" s="1"/>
  <c r="D16" i="54"/>
  <c r="U15" i="54"/>
  <c r="D15" i="54"/>
  <c r="U14" i="54"/>
  <c r="D14" i="54"/>
  <c r="U13" i="54"/>
  <c r="D13" i="54"/>
  <c r="U12" i="54"/>
  <c r="V12" i="54" s="1"/>
  <c r="D12" i="54"/>
  <c r="U11" i="54"/>
  <c r="D11" i="54"/>
  <c r="U10" i="54"/>
  <c r="D10" i="54"/>
  <c r="U9" i="54"/>
  <c r="V8" i="54" s="1"/>
  <c r="D9" i="54"/>
  <c r="U8" i="54"/>
  <c r="D8" i="54"/>
  <c r="U7" i="54"/>
  <c r="D7" i="54"/>
  <c r="U6" i="54"/>
  <c r="D6" i="54"/>
  <c r="U5" i="54"/>
  <c r="V5" i="54" s="1"/>
  <c r="D5" i="54"/>
  <c r="K28" i="53"/>
  <c r="L28" i="53" s="1"/>
  <c r="L26" i="53"/>
  <c r="K26" i="53"/>
  <c r="J21" i="53"/>
  <c r="C21" i="53"/>
  <c r="D19" i="53"/>
  <c r="D18" i="53"/>
  <c r="D17" i="53"/>
  <c r="U16" i="53"/>
  <c r="D16" i="53"/>
  <c r="U15" i="53"/>
  <c r="D15" i="53"/>
  <c r="U14" i="53"/>
  <c r="V14" i="53" s="1"/>
  <c r="D14" i="53"/>
  <c r="U13" i="53"/>
  <c r="D13" i="53"/>
  <c r="U12" i="53"/>
  <c r="D12" i="53"/>
  <c r="V11" i="53"/>
  <c r="U11" i="53"/>
  <c r="D11" i="53"/>
  <c r="U10" i="53"/>
  <c r="D10" i="53"/>
  <c r="U9" i="53"/>
  <c r="D9" i="53"/>
  <c r="U8" i="53"/>
  <c r="V8" i="53" s="1"/>
  <c r="D8" i="53"/>
  <c r="U7" i="53"/>
  <c r="D7" i="53"/>
  <c r="U6" i="53"/>
  <c r="D6" i="53"/>
  <c r="V5" i="53"/>
  <c r="U5" i="53"/>
  <c r="D5" i="53"/>
  <c r="J5" i="52"/>
  <c r="I5" i="52"/>
  <c r="K26" i="51"/>
  <c r="L26" i="51" s="1"/>
  <c r="J21" i="51"/>
  <c r="C21" i="51"/>
  <c r="T19" i="51"/>
  <c r="T18" i="51"/>
  <c r="T17" i="51"/>
  <c r="U17" i="51" s="1"/>
  <c r="T16" i="51"/>
  <c r="D16" i="51"/>
  <c r="T15" i="51"/>
  <c r="D15" i="51"/>
  <c r="T14" i="51"/>
  <c r="U14" i="51" s="1"/>
  <c r="D14" i="51"/>
  <c r="T13" i="51"/>
  <c r="D13" i="51"/>
  <c r="T12" i="51"/>
  <c r="D12" i="51"/>
  <c r="U11" i="51"/>
  <c r="T11" i="51"/>
  <c r="D11" i="51"/>
  <c r="T10" i="51"/>
  <c r="D10" i="51"/>
  <c r="T9" i="51"/>
  <c r="D9" i="51"/>
  <c r="T8" i="51"/>
  <c r="U8" i="51" s="1"/>
  <c r="D8" i="51"/>
  <c r="T7" i="51"/>
  <c r="D7" i="51"/>
  <c r="T6" i="51"/>
  <c r="D6" i="51"/>
  <c r="T5" i="51"/>
  <c r="U5" i="51" s="1"/>
  <c r="D5" i="51"/>
  <c r="K29" i="50"/>
  <c r="L29" i="50" s="1"/>
  <c r="K27" i="50"/>
  <c r="L27" i="50" s="1"/>
  <c r="K25" i="50"/>
  <c r="L25" i="50" s="1"/>
  <c r="K23" i="50"/>
  <c r="L23" i="50" s="1"/>
  <c r="J18" i="50"/>
  <c r="C18" i="50"/>
  <c r="T16" i="50"/>
  <c r="D16" i="50"/>
  <c r="T15" i="50"/>
  <c r="D15" i="50"/>
  <c r="T14" i="50"/>
  <c r="U14" i="50" s="1"/>
  <c r="D14" i="50"/>
  <c r="T13" i="50"/>
  <c r="D13" i="50"/>
  <c r="T12" i="50"/>
  <c r="D12" i="50"/>
  <c r="T11" i="50"/>
  <c r="D11" i="50"/>
  <c r="T10" i="50"/>
  <c r="D10" i="50"/>
  <c r="T9" i="50"/>
  <c r="D9" i="50"/>
  <c r="T8" i="50"/>
  <c r="U8" i="50" s="1"/>
  <c r="D8" i="50"/>
  <c r="T7" i="50"/>
  <c r="D7" i="50"/>
  <c r="T6" i="50"/>
  <c r="U5" i="50" s="1"/>
  <c r="D6" i="50"/>
  <c r="T5" i="50"/>
  <c r="D5" i="50"/>
  <c r="K26" i="49"/>
  <c r="L26" i="49" s="1"/>
  <c r="J21" i="49"/>
  <c r="C21" i="49"/>
  <c r="T16" i="49"/>
  <c r="D16" i="49"/>
  <c r="T15" i="49"/>
  <c r="D15" i="49"/>
  <c r="U14" i="49"/>
  <c r="T14" i="49"/>
  <c r="D14" i="49"/>
  <c r="T13" i="49"/>
  <c r="D13" i="49"/>
  <c r="T12" i="49"/>
  <c r="D12" i="49"/>
  <c r="U11" i="49"/>
  <c r="T11" i="49"/>
  <c r="D11" i="49"/>
  <c r="T10" i="49"/>
  <c r="D10" i="49"/>
  <c r="T9" i="49"/>
  <c r="D9" i="49"/>
  <c r="U8" i="49"/>
  <c r="T8" i="49"/>
  <c r="D8" i="49"/>
  <c r="T7" i="49"/>
  <c r="D7" i="49"/>
  <c r="T6" i="49"/>
  <c r="D6" i="49"/>
  <c r="U5" i="49"/>
  <c r="T5" i="49"/>
  <c r="D5" i="49"/>
  <c r="K25" i="48"/>
  <c r="L25" i="48" s="1"/>
  <c r="K23" i="48"/>
  <c r="L23" i="48" s="1"/>
  <c r="J18" i="48"/>
  <c r="C18" i="48"/>
  <c r="T16" i="48"/>
  <c r="D16" i="48"/>
  <c r="T15" i="48"/>
  <c r="D15" i="48"/>
  <c r="T14" i="48"/>
  <c r="D14" i="48"/>
  <c r="T13" i="48"/>
  <c r="D13" i="48"/>
  <c r="T12" i="48"/>
  <c r="D12" i="48"/>
  <c r="T11" i="48"/>
  <c r="D11" i="48"/>
  <c r="T10" i="48"/>
  <c r="D10" i="48"/>
  <c r="T9" i="48"/>
  <c r="D9" i="48"/>
  <c r="T8" i="48"/>
  <c r="D8" i="48"/>
  <c r="T7" i="48"/>
  <c r="D7" i="48"/>
  <c r="T6" i="48"/>
  <c r="D6" i="48"/>
  <c r="T5" i="48"/>
  <c r="D5" i="48"/>
  <c r="S87" i="47"/>
  <c r="S86" i="47"/>
  <c r="S85" i="47"/>
  <c r="S84" i="47"/>
  <c r="S83" i="47"/>
  <c r="S82" i="47"/>
  <c r="T81" i="47"/>
  <c r="S81" i="47"/>
  <c r="T80" i="47"/>
  <c r="S80" i="47"/>
  <c r="S79" i="47"/>
  <c r="S78" i="47"/>
  <c r="T77" i="47"/>
  <c r="S77" i="47"/>
  <c r="S76" i="47"/>
  <c r="T75" i="47"/>
  <c r="S75" i="47"/>
  <c r="T74" i="47"/>
  <c r="S74" i="47"/>
  <c r="T73" i="47"/>
  <c r="S73" i="47"/>
  <c r="S72" i="47"/>
  <c r="T70" i="47"/>
  <c r="S70" i="47"/>
  <c r="T69" i="47"/>
  <c r="S69" i="47"/>
  <c r="S67" i="47"/>
  <c r="S65" i="47"/>
  <c r="T63" i="47"/>
  <c r="Q63" i="47"/>
  <c r="Q64" i="47" s="1"/>
  <c r="Q65" i="47" s="1"/>
  <c r="Q66" i="47" s="1"/>
  <c r="Q67" i="47" s="1"/>
  <c r="Q68" i="47" s="1"/>
  <c r="Q69" i="47" s="1"/>
  <c r="Q70" i="47" s="1"/>
  <c r="Q71" i="47" s="1"/>
  <c r="Q72" i="47" s="1"/>
  <c r="Q73" i="47" s="1"/>
  <c r="Q74" i="47" s="1"/>
  <c r="Q75" i="47" s="1"/>
  <c r="Q76" i="47" s="1"/>
  <c r="Q77" i="47" s="1"/>
  <c r="Q78" i="47" s="1"/>
  <c r="Q79" i="47" s="1"/>
  <c r="T62" i="47"/>
  <c r="S62" i="47"/>
  <c r="S61" i="47"/>
  <c r="S60" i="47"/>
  <c r="S59" i="47"/>
  <c r="T58" i="47"/>
  <c r="S58" i="47"/>
  <c r="S57" i="47"/>
  <c r="T56" i="47"/>
  <c r="S55" i="47"/>
  <c r="S54" i="47"/>
  <c r="T53" i="47"/>
  <c r="S53" i="47"/>
  <c r="T52" i="47"/>
  <c r="S52" i="47"/>
  <c r="S51" i="47"/>
  <c r="S50" i="47"/>
  <c r="S49" i="47"/>
  <c r="S47" i="47"/>
  <c r="S45" i="47"/>
  <c r="S42" i="47"/>
  <c r="Q41" i="47"/>
  <c r="Q42" i="47" s="1"/>
  <c r="Q43" i="47" s="1"/>
  <c r="Q44" i="47" s="1"/>
  <c r="Q45" i="47" s="1"/>
  <c r="Q46" i="47" s="1"/>
  <c r="Q47" i="47" s="1"/>
  <c r="Q48" i="47" s="1"/>
  <c r="Q49" i="47" s="1"/>
  <c r="Q50" i="47" s="1"/>
  <c r="Q51" i="47" s="1"/>
  <c r="Q52" i="47" s="1"/>
  <c r="Q53" i="47" s="1"/>
  <c r="Q37" i="47"/>
  <c r="Q38" i="47" s="1"/>
  <c r="Q39" i="47" s="1"/>
  <c r="Q40" i="47" s="1"/>
  <c r="L35" i="47"/>
  <c r="M35" i="47" s="1"/>
  <c r="S33" i="47"/>
  <c r="L33" i="47"/>
  <c r="M33" i="47" s="1"/>
  <c r="S32" i="47"/>
  <c r="S31" i="47"/>
  <c r="O31" i="47"/>
  <c r="O32" i="47" s="1"/>
  <c r="O33" i="47" s="1"/>
  <c r="O34" i="47" s="1"/>
  <c r="O35" i="47" s="1"/>
  <c r="O36" i="47" s="1"/>
  <c r="O37" i="47" s="1"/>
  <c r="O38" i="47" s="1"/>
  <c r="O39" i="47" s="1"/>
  <c r="O40" i="47" s="1"/>
  <c r="O41" i="47" s="1"/>
  <c r="O42" i="47" s="1"/>
  <c r="O43" i="47" s="1"/>
  <c r="O44" i="47" s="1"/>
  <c r="O45" i="47" s="1"/>
  <c r="O46" i="47" s="1"/>
  <c r="O47" i="47" s="1"/>
  <c r="O48" i="47" s="1"/>
  <c r="O49" i="47" s="1"/>
  <c r="O50" i="47" s="1"/>
  <c r="O51" i="47" s="1"/>
  <c r="O52" i="47" s="1"/>
  <c r="O53" i="47" s="1"/>
  <c r="O54" i="47" s="1"/>
  <c r="O55" i="47" s="1"/>
  <c r="O56" i="47" s="1"/>
  <c r="O57" i="47" s="1"/>
  <c r="O58" i="47" s="1"/>
  <c r="O59" i="47" s="1"/>
  <c r="O60" i="47" s="1"/>
  <c r="O61" i="47" s="1"/>
  <c r="O62" i="47" s="1"/>
  <c r="O63" i="47" s="1"/>
  <c r="O64" i="47" s="1"/>
  <c r="O65" i="47" s="1"/>
  <c r="O66" i="47" s="1"/>
  <c r="O67" i="47" s="1"/>
  <c r="O68" i="47" s="1"/>
  <c r="O69" i="47" s="1"/>
  <c r="O70" i="47" s="1"/>
  <c r="O71" i="47" s="1"/>
  <c r="O72" i="47" s="1"/>
  <c r="O73" i="47" s="1"/>
  <c r="O74" i="47" s="1"/>
  <c r="O75" i="47" s="1"/>
  <c r="O76" i="47" s="1"/>
  <c r="O77" i="47" s="1"/>
  <c r="O78" i="47" s="1"/>
  <c r="O79" i="47" s="1"/>
  <c r="O80" i="47" s="1"/>
  <c r="O81" i="47" s="1"/>
  <c r="O82" i="47" s="1"/>
  <c r="O83" i="47" s="1"/>
  <c r="O84" i="47" s="1"/>
  <c r="O85" i="47" s="1"/>
  <c r="O86" i="47" s="1"/>
  <c r="O87" i="47" s="1"/>
  <c r="K28" i="47"/>
  <c r="C28" i="47"/>
  <c r="D24" i="47"/>
  <c r="D23" i="47"/>
  <c r="D22" i="47"/>
  <c r="D21" i="47"/>
  <c r="D20" i="47"/>
  <c r="D19" i="47"/>
  <c r="D18" i="47"/>
  <c r="D17" i="47"/>
  <c r="D16" i="47"/>
  <c r="D15" i="47"/>
  <c r="D14" i="47"/>
  <c r="D13" i="47"/>
  <c r="D12" i="47"/>
  <c r="D11" i="47"/>
  <c r="D10" i="47"/>
  <c r="D9" i="47"/>
  <c r="D8" i="47"/>
  <c r="D7" i="47"/>
  <c r="D6" i="47"/>
  <c r="D5" i="47"/>
  <c r="M51" i="46"/>
  <c r="M52" i="46" s="1"/>
  <c r="M53" i="46" s="1"/>
  <c r="M54" i="46" s="1"/>
  <c r="M55" i="46" s="1"/>
  <c r="M56" i="46" s="1"/>
  <c r="M57" i="46" s="1"/>
  <c r="M58" i="46" s="1"/>
  <c r="M59" i="46" s="1"/>
  <c r="M60" i="46" s="1"/>
  <c r="M61" i="46" s="1"/>
  <c r="M62" i="46" s="1"/>
  <c r="M63" i="46" s="1"/>
  <c r="M64" i="46" s="1"/>
  <c r="M65" i="46" s="1"/>
  <c r="M66" i="46" s="1"/>
  <c r="M67" i="46" s="1"/>
  <c r="M68" i="46" s="1"/>
  <c r="M69" i="46" s="1"/>
  <c r="M70" i="46" s="1"/>
  <c r="M71" i="46" s="1"/>
  <c r="M72" i="46" s="1"/>
  <c r="M73" i="46" s="1"/>
  <c r="M74" i="46" s="1"/>
  <c r="M75" i="46" s="1"/>
  <c r="M76" i="46" s="1"/>
  <c r="M77" i="46" s="1"/>
  <c r="M78" i="46" s="1"/>
  <c r="M79" i="46" s="1"/>
  <c r="M80" i="46" s="1"/>
  <c r="M81" i="46" s="1"/>
  <c r="M82" i="46" s="1"/>
  <c r="M83" i="46" s="1"/>
  <c r="N47" i="46"/>
  <c r="N48" i="46" s="1"/>
  <c r="N49" i="46" s="1"/>
  <c r="N50" i="46" s="1"/>
  <c r="N51" i="46" s="1"/>
  <c r="N52" i="46" s="1"/>
  <c r="N53" i="46" s="1"/>
  <c r="N54" i="46" s="1"/>
  <c r="N55" i="46" s="1"/>
  <c r="N56" i="46" s="1"/>
  <c r="N57" i="46" s="1"/>
  <c r="N58" i="46" s="1"/>
  <c r="N59" i="46" s="1"/>
  <c r="N60" i="46" s="1"/>
  <c r="N61" i="46" s="1"/>
  <c r="N62" i="46" s="1"/>
  <c r="N63" i="46" s="1"/>
  <c r="N64" i="46" s="1"/>
  <c r="N65" i="46" s="1"/>
  <c r="N66" i="46" s="1"/>
  <c r="N67" i="46" s="1"/>
  <c r="N68" i="46" s="1"/>
  <c r="N69" i="46" s="1"/>
  <c r="N70" i="46" s="1"/>
  <c r="N71" i="46" s="1"/>
  <c r="N72" i="46" s="1"/>
  <c r="N73" i="46" s="1"/>
  <c r="N74" i="46" s="1"/>
  <c r="N75" i="46" s="1"/>
  <c r="N76" i="46" s="1"/>
  <c r="N77" i="46" s="1"/>
  <c r="M47" i="46"/>
  <c r="M48" i="46" s="1"/>
  <c r="M49" i="46" s="1"/>
  <c r="M50" i="46" s="1"/>
  <c r="M41" i="46"/>
  <c r="M42" i="46" s="1"/>
  <c r="M43" i="46" s="1"/>
  <c r="M44" i="46" s="1"/>
  <c r="M45" i="46" s="1"/>
  <c r="M46" i="46" s="1"/>
  <c r="J37" i="46"/>
  <c r="K37" i="46" s="1"/>
  <c r="I33" i="46"/>
  <c r="C33" i="46"/>
  <c r="D32" i="46"/>
  <c r="D31" i="46"/>
  <c r="D30" i="46"/>
  <c r="D29" i="46"/>
  <c r="D28" i="46"/>
  <c r="D27" i="46"/>
  <c r="D26" i="46"/>
  <c r="D25" i="46"/>
  <c r="D24" i="46"/>
  <c r="D23" i="46"/>
  <c r="D22" i="46"/>
  <c r="D21" i="46"/>
  <c r="D20" i="46"/>
  <c r="D19" i="46"/>
  <c r="D18" i="46"/>
  <c r="D17" i="46"/>
  <c r="D16" i="46"/>
  <c r="D15" i="46"/>
  <c r="D14" i="46"/>
  <c r="D13" i="46"/>
  <c r="D12" i="46"/>
  <c r="D11" i="46"/>
  <c r="D10" i="46"/>
  <c r="D9" i="46"/>
  <c r="D8" i="46"/>
  <c r="D7" i="46"/>
  <c r="D6" i="46"/>
  <c r="D5" i="46"/>
  <c r="D4" i="46"/>
  <c r="D3" i="46"/>
  <c r="K26" i="45"/>
  <c r="L26" i="45" s="1"/>
  <c r="J21" i="45"/>
  <c r="C21" i="45"/>
  <c r="D19" i="45"/>
  <c r="D18" i="45"/>
  <c r="D17" i="45"/>
  <c r="D16" i="45"/>
  <c r="D15" i="45"/>
  <c r="D14" i="45"/>
  <c r="D13" i="45"/>
  <c r="D12" i="45"/>
  <c r="D11" i="45"/>
  <c r="D10" i="45"/>
  <c r="D9" i="45"/>
  <c r="D8" i="45"/>
  <c r="D7" i="45"/>
  <c r="D6" i="45"/>
  <c r="D5" i="45"/>
  <c r="N88" i="43"/>
  <c r="N89" i="43" s="1"/>
  <c r="N90" i="43" s="1"/>
  <c r="N91" i="43" s="1"/>
  <c r="N92" i="43" s="1"/>
  <c r="N93" i="43" s="1"/>
  <c r="N94" i="43" s="1"/>
  <c r="N95" i="43" s="1"/>
  <c r="N96" i="43" s="1"/>
  <c r="N97" i="43" s="1"/>
  <c r="N98" i="43" s="1"/>
  <c r="N99" i="43" s="1"/>
  <c r="N100" i="43" s="1"/>
  <c r="N101" i="43" s="1"/>
  <c r="N102" i="43" s="1"/>
  <c r="N103" i="43" s="1"/>
  <c r="N104" i="43" s="1"/>
  <c r="N105" i="43" s="1"/>
  <c r="N106" i="43" s="1"/>
  <c r="N107" i="43" s="1"/>
  <c r="N84" i="43"/>
  <c r="N85" i="43" s="1"/>
  <c r="N86" i="43" s="1"/>
  <c r="N87" i="43" s="1"/>
  <c r="N80" i="43"/>
  <c r="N81" i="43" s="1"/>
  <c r="N82" i="43" s="1"/>
  <c r="N83" i="43" s="1"/>
  <c r="N45" i="43"/>
  <c r="N46" i="43" s="1"/>
  <c r="N47" i="43" s="1"/>
  <c r="N48" i="43" s="1"/>
  <c r="N49" i="43" s="1"/>
  <c r="N50" i="43" s="1"/>
  <c r="N51" i="43" s="1"/>
  <c r="N52" i="43" s="1"/>
  <c r="N53" i="43" s="1"/>
  <c r="N54" i="43" s="1"/>
  <c r="N55" i="43" s="1"/>
  <c r="N56" i="43" s="1"/>
  <c r="N57" i="43" s="1"/>
  <c r="N58" i="43" s="1"/>
  <c r="N59" i="43" s="1"/>
  <c r="N60" i="43" s="1"/>
  <c r="N61" i="43" s="1"/>
  <c r="N62" i="43" s="1"/>
  <c r="N63" i="43" s="1"/>
  <c r="N64" i="43" s="1"/>
  <c r="N65" i="43" s="1"/>
  <c r="N66" i="43" s="1"/>
  <c r="N67" i="43" s="1"/>
  <c r="N68" i="43" s="1"/>
  <c r="N69" i="43" s="1"/>
  <c r="N70" i="43" s="1"/>
  <c r="N71" i="43" s="1"/>
  <c r="N72" i="43" s="1"/>
  <c r="M39" i="43"/>
  <c r="M40" i="43" s="1"/>
  <c r="M41" i="43" s="1"/>
  <c r="M42" i="43" s="1"/>
  <c r="M43" i="43" s="1"/>
  <c r="M44" i="43" s="1"/>
  <c r="M45" i="43" s="1"/>
  <c r="M46" i="43" s="1"/>
  <c r="M47" i="43" s="1"/>
  <c r="M48" i="43" s="1"/>
  <c r="M49" i="43" s="1"/>
  <c r="M50" i="43" s="1"/>
  <c r="M51" i="43" s="1"/>
  <c r="M52" i="43" s="1"/>
  <c r="M53" i="43" s="1"/>
  <c r="M54" i="43" s="1"/>
  <c r="M55" i="43" s="1"/>
  <c r="M56" i="43" s="1"/>
  <c r="M57" i="43" s="1"/>
  <c r="M58" i="43" s="1"/>
  <c r="M59" i="43" s="1"/>
  <c r="M60" i="43" s="1"/>
  <c r="M61" i="43" s="1"/>
  <c r="M62" i="43" s="1"/>
  <c r="M63" i="43" s="1"/>
  <c r="M64" i="43" s="1"/>
  <c r="M65" i="43" s="1"/>
  <c r="M66" i="43" s="1"/>
  <c r="M67" i="43" s="1"/>
  <c r="M68" i="43" s="1"/>
  <c r="M69" i="43" s="1"/>
  <c r="M70" i="43" s="1"/>
  <c r="M71" i="43" s="1"/>
  <c r="M72" i="43" s="1"/>
  <c r="M73" i="43" s="1"/>
  <c r="M74" i="43" s="1"/>
  <c r="M75" i="43" s="1"/>
  <c r="M76" i="43" s="1"/>
  <c r="M77" i="43" s="1"/>
  <c r="M78" i="43" s="1"/>
  <c r="M79" i="43" s="1"/>
  <c r="M80" i="43" s="1"/>
  <c r="M81" i="43" s="1"/>
  <c r="M82" i="43" s="1"/>
  <c r="M83" i="43" s="1"/>
  <c r="M84" i="43" s="1"/>
  <c r="M85" i="43" s="1"/>
  <c r="M86" i="43" s="1"/>
  <c r="M87" i="43" s="1"/>
  <c r="M88" i="43" s="1"/>
  <c r="M89" i="43" s="1"/>
  <c r="M90" i="43" s="1"/>
  <c r="M91" i="43" s="1"/>
  <c r="M92" i="43" s="1"/>
  <c r="M93" i="43" s="1"/>
  <c r="M94" i="43" s="1"/>
  <c r="M95" i="43" s="1"/>
  <c r="M96" i="43" s="1"/>
  <c r="M97" i="43" s="1"/>
  <c r="M98" i="43" s="1"/>
  <c r="M99" i="43" s="1"/>
  <c r="M100" i="43" s="1"/>
  <c r="M101" i="43" s="1"/>
  <c r="M102" i="43" s="1"/>
  <c r="M103" i="43" s="1"/>
  <c r="M104" i="43" s="1"/>
  <c r="M105" i="43" s="1"/>
  <c r="M106" i="43" s="1"/>
  <c r="M107" i="43" s="1"/>
  <c r="M108" i="43" s="1"/>
  <c r="M109" i="43" s="1"/>
  <c r="M110" i="43" s="1"/>
  <c r="M111" i="43" s="1"/>
  <c r="M112" i="43" s="1"/>
  <c r="M113" i="43" s="1"/>
  <c r="J35" i="43"/>
  <c r="K35" i="43" s="1"/>
  <c r="I31" i="43"/>
  <c r="C31" i="43"/>
  <c r="D30" i="43"/>
  <c r="D29" i="43"/>
  <c r="D28" i="43"/>
  <c r="D27" i="43"/>
  <c r="D26" i="43"/>
  <c r="D25" i="43"/>
  <c r="D24" i="43"/>
  <c r="D23" i="43"/>
  <c r="D22" i="43"/>
  <c r="D21" i="43"/>
  <c r="D20" i="43"/>
  <c r="D19" i="43"/>
  <c r="D18" i="43"/>
  <c r="D17" i="43"/>
  <c r="D16" i="43"/>
  <c r="D15" i="43"/>
  <c r="D14" i="43"/>
  <c r="D13" i="43"/>
  <c r="D12" i="43"/>
  <c r="D11" i="43"/>
  <c r="D10" i="43"/>
  <c r="D9" i="43"/>
  <c r="D8" i="43"/>
  <c r="D7" i="43"/>
  <c r="D6" i="43"/>
  <c r="D5" i="43"/>
  <c r="D4" i="43"/>
  <c r="D3" i="43"/>
  <c r="M28" i="42"/>
  <c r="N28" i="42" s="1"/>
  <c r="M26" i="42"/>
  <c r="N26" i="42" s="1"/>
  <c r="L21" i="42"/>
  <c r="D21" i="42"/>
  <c r="V19" i="42"/>
  <c r="E19" i="42"/>
  <c r="V18" i="42"/>
  <c r="E18" i="42"/>
  <c r="V17" i="42"/>
  <c r="X17" i="42" s="1"/>
  <c r="E17" i="42"/>
  <c r="V16" i="42"/>
  <c r="E16" i="42"/>
  <c r="V15" i="42"/>
  <c r="E15" i="42"/>
  <c r="X14" i="42"/>
  <c r="V14" i="42"/>
  <c r="E14" i="42"/>
  <c r="V13" i="42"/>
  <c r="E13" i="42"/>
  <c r="V12" i="42"/>
  <c r="E12" i="42"/>
  <c r="V11" i="42"/>
  <c r="X11" i="42" s="1"/>
  <c r="E11" i="42"/>
  <c r="V10" i="42"/>
  <c r="E10" i="42"/>
  <c r="V9" i="42"/>
  <c r="E9" i="42"/>
  <c r="X8" i="42"/>
  <c r="V8" i="42"/>
  <c r="E8" i="42"/>
  <c r="V7" i="42"/>
  <c r="E7" i="42"/>
  <c r="V6" i="42"/>
  <c r="E6" i="42"/>
  <c r="V5" i="42"/>
  <c r="X5" i="42" s="1"/>
  <c r="E5" i="42"/>
  <c r="N33" i="41"/>
  <c r="M33" i="41"/>
  <c r="N31" i="41"/>
  <c r="M31" i="41"/>
  <c r="M29" i="41"/>
  <c r="N29" i="41" s="1"/>
  <c r="L24" i="41"/>
  <c r="D24" i="41"/>
  <c r="E22" i="41"/>
  <c r="E21" i="41"/>
  <c r="E20" i="41"/>
  <c r="E19" i="41"/>
  <c r="E18" i="41"/>
  <c r="E17" i="41"/>
  <c r="E16" i="41"/>
  <c r="E15" i="41"/>
  <c r="E14" i="41"/>
  <c r="E13" i="41"/>
  <c r="E12" i="41"/>
  <c r="E11" i="41"/>
  <c r="E10" i="41"/>
  <c r="E9" i="41"/>
  <c r="E8" i="41"/>
  <c r="E7" i="41"/>
  <c r="E6" i="41"/>
  <c r="E5" i="41"/>
  <c r="N66" i="40"/>
  <c r="N67" i="40" s="1"/>
  <c r="N68" i="40" s="1"/>
  <c r="N69" i="40" s="1"/>
  <c r="N70" i="40" s="1"/>
  <c r="N71" i="40" s="1"/>
  <c r="N72" i="40" s="1"/>
  <c r="N73" i="40" s="1"/>
  <c r="N74" i="40" s="1"/>
  <c r="N75" i="40" s="1"/>
  <c r="N76" i="40" s="1"/>
  <c r="N77" i="40" s="1"/>
  <c r="N78" i="40" s="1"/>
  <c r="N79" i="40" s="1"/>
  <c r="N80" i="40" s="1"/>
  <c r="N81" i="40" s="1"/>
  <c r="N82" i="40" s="1"/>
  <c r="N83" i="40" s="1"/>
  <c r="N84" i="40" s="1"/>
  <c r="N85" i="40" s="1"/>
  <c r="N86" i="40" s="1"/>
  <c r="N87" i="40" s="1"/>
  <c r="N88" i="40" s="1"/>
  <c r="N89" i="40" s="1"/>
  <c r="N90" i="40" s="1"/>
  <c r="N91" i="40" s="1"/>
  <c r="N64" i="40"/>
  <c r="N65" i="40" s="1"/>
  <c r="N32" i="40"/>
  <c r="N33" i="40" s="1"/>
  <c r="N34" i="40" s="1"/>
  <c r="N35" i="40" s="1"/>
  <c r="N36" i="40" s="1"/>
  <c r="N37" i="40" s="1"/>
  <c r="N38" i="40" s="1"/>
  <c r="N39" i="40" s="1"/>
  <c r="N40" i="40" s="1"/>
  <c r="N41" i="40" s="1"/>
  <c r="N42" i="40" s="1"/>
  <c r="N43" i="40" s="1"/>
  <c r="N44" i="40" s="1"/>
  <c r="N45" i="40" s="1"/>
  <c r="N46" i="40" s="1"/>
  <c r="N47" i="40" s="1"/>
  <c r="N48" i="40" s="1"/>
  <c r="N49" i="40" s="1"/>
  <c r="N50" i="40" s="1"/>
  <c r="N51" i="40" s="1"/>
  <c r="N52" i="40" s="1"/>
  <c r="N53" i="40" s="1"/>
  <c r="N54" i="40" s="1"/>
  <c r="N55" i="40" s="1"/>
  <c r="N56" i="40" s="1"/>
  <c r="N29" i="40"/>
  <c r="N30" i="40" s="1"/>
  <c r="N31" i="40" s="1"/>
  <c r="M25" i="40"/>
  <c r="M26" i="40" s="1"/>
  <c r="M27" i="40" s="1"/>
  <c r="M28" i="40" s="1"/>
  <c r="M29" i="40" s="1"/>
  <c r="M30" i="40" s="1"/>
  <c r="M31" i="40" s="1"/>
  <c r="M32" i="40" s="1"/>
  <c r="M33" i="40" s="1"/>
  <c r="M34" i="40" s="1"/>
  <c r="M35" i="40" s="1"/>
  <c r="M36" i="40" s="1"/>
  <c r="M37" i="40" s="1"/>
  <c r="M38" i="40" s="1"/>
  <c r="M39" i="40" s="1"/>
  <c r="M40" i="40" s="1"/>
  <c r="M41" i="40" s="1"/>
  <c r="M42" i="40" s="1"/>
  <c r="M43" i="40" s="1"/>
  <c r="M44" i="40" s="1"/>
  <c r="M45" i="40" s="1"/>
  <c r="M46" i="40" s="1"/>
  <c r="M47" i="40" s="1"/>
  <c r="M48" i="40" s="1"/>
  <c r="M49" i="40" s="1"/>
  <c r="M50" i="40" s="1"/>
  <c r="M51" i="40" s="1"/>
  <c r="M52" i="40" s="1"/>
  <c r="M53" i="40" s="1"/>
  <c r="M54" i="40" s="1"/>
  <c r="M55" i="40" s="1"/>
  <c r="M56" i="40" s="1"/>
  <c r="M57" i="40" s="1"/>
  <c r="M58" i="40" s="1"/>
  <c r="M59" i="40" s="1"/>
  <c r="M60" i="40" s="1"/>
  <c r="M61" i="40" s="1"/>
  <c r="M62" i="40" s="1"/>
  <c r="M63" i="40" s="1"/>
  <c r="M64" i="40" s="1"/>
  <c r="M65" i="40" s="1"/>
  <c r="M66" i="40" s="1"/>
  <c r="M67" i="40" s="1"/>
  <c r="M68" i="40" s="1"/>
  <c r="M69" i="40" s="1"/>
  <c r="M70" i="40" s="1"/>
  <c r="M71" i="40" s="1"/>
  <c r="M72" i="40" s="1"/>
  <c r="M73" i="40" s="1"/>
  <c r="M74" i="40" s="1"/>
  <c r="M75" i="40" s="1"/>
  <c r="M76" i="40" s="1"/>
  <c r="M77" i="40" s="1"/>
  <c r="M78" i="40" s="1"/>
  <c r="M79" i="40" s="1"/>
  <c r="M80" i="40" s="1"/>
  <c r="M81" i="40" s="1"/>
  <c r="M82" i="40" s="1"/>
  <c r="M83" i="40" s="1"/>
  <c r="M84" i="40" s="1"/>
  <c r="M85" i="40" s="1"/>
  <c r="M86" i="40" s="1"/>
  <c r="M87" i="40" s="1"/>
  <c r="M88" i="40" s="1"/>
  <c r="M89" i="40" s="1"/>
  <c r="M90" i="40" s="1"/>
  <c r="M91" i="40" s="1"/>
  <c r="M92" i="40" s="1"/>
  <c r="M93" i="40" s="1"/>
  <c r="M94" i="40" s="1"/>
  <c r="M95" i="40" s="1"/>
  <c r="M96" i="40" s="1"/>
  <c r="M97" i="40" s="1"/>
  <c r="M23" i="40"/>
  <c r="M24" i="40" s="1"/>
  <c r="K19" i="40"/>
  <c r="J19" i="40"/>
  <c r="I15" i="40"/>
  <c r="C15" i="40"/>
  <c r="D14" i="40"/>
  <c r="D13" i="40"/>
  <c r="D12" i="40"/>
  <c r="D11" i="40"/>
  <c r="D10" i="40"/>
  <c r="D9" i="40"/>
  <c r="D8" i="40"/>
  <c r="D7" i="40"/>
  <c r="D6" i="40"/>
  <c r="D5" i="40"/>
  <c r="D4" i="40"/>
  <c r="D3" i="40"/>
  <c r="N29" i="39"/>
  <c r="M29" i="39"/>
  <c r="M26" i="39"/>
  <c r="N26" i="39" s="1"/>
  <c r="N23" i="39"/>
  <c r="M23" i="39"/>
  <c r="L18" i="39"/>
  <c r="D18" i="39"/>
  <c r="X16" i="39"/>
  <c r="V16" i="39"/>
  <c r="E16" i="39"/>
  <c r="V15" i="39"/>
  <c r="E15" i="39"/>
  <c r="V14" i="39"/>
  <c r="E14" i="39"/>
  <c r="V13" i="39"/>
  <c r="E13" i="39"/>
  <c r="V12" i="39"/>
  <c r="E12" i="39"/>
  <c r="V11" i="39"/>
  <c r="X13" i="39" s="1"/>
  <c r="E11" i="39"/>
  <c r="X10" i="39"/>
  <c r="V10" i="39"/>
  <c r="E10" i="39"/>
  <c r="V9" i="39"/>
  <c r="E9" i="39"/>
  <c r="V8" i="39"/>
  <c r="E8" i="39"/>
  <c r="V7" i="39"/>
  <c r="E7" i="39"/>
  <c r="V6" i="39"/>
  <c r="E6" i="39"/>
  <c r="V5" i="39"/>
  <c r="X7" i="39" s="1"/>
  <c r="E5" i="39"/>
  <c r="N46" i="38"/>
  <c r="N47" i="38" s="1"/>
  <c r="N48" i="38" s="1"/>
  <c r="N49" i="38" s="1"/>
  <c r="N50" i="38" s="1"/>
  <c r="N51" i="38" s="1"/>
  <c r="N52" i="38" s="1"/>
  <c r="N53" i="38" s="1"/>
  <c r="N54" i="38" s="1"/>
  <c r="N55" i="38" s="1"/>
  <c r="N56" i="38" s="1"/>
  <c r="N57" i="38" s="1"/>
  <c r="N58" i="38" s="1"/>
  <c r="N59" i="38" s="1"/>
  <c r="N60" i="38" s="1"/>
  <c r="N61" i="38" s="1"/>
  <c r="N62" i="38" s="1"/>
  <c r="N63" i="38" s="1"/>
  <c r="N64" i="38" s="1"/>
  <c r="N65" i="38" s="1"/>
  <c r="N66" i="38" s="1"/>
  <c r="N67" i="38" s="1"/>
  <c r="N68" i="38" s="1"/>
  <c r="N69" i="38" s="1"/>
  <c r="N70" i="38" s="1"/>
  <c r="N71" i="38" s="1"/>
  <c r="N72" i="38" s="1"/>
  <c r="N73" i="38" s="1"/>
  <c r="N74" i="38" s="1"/>
  <c r="N75" i="38" s="1"/>
  <c r="N76" i="38" s="1"/>
  <c r="M40" i="38"/>
  <c r="M41" i="38" s="1"/>
  <c r="M42" i="38" s="1"/>
  <c r="M43" i="38" s="1"/>
  <c r="M44" i="38" s="1"/>
  <c r="M45" i="38" s="1"/>
  <c r="M46" i="38" s="1"/>
  <c r="M47" i="38" s="1"/>
  <c r="M48" i="38" s="1"/>
  <c r="M49" i="38" s="1"/>
  <c r="M50" i="38" s="1"/>
  <c r="M51" i="38" s="1"/>
  <c r="M52" i="38" s="1"/>
  <c r="M53" i="38" s="1"/>
  <c r="M54" i="38" s="1"/>
  <c r="M55" i="38" s="1"/>
  <c r="M56" i="38" s="1"/>
  <c r="M57" i="38" s="1"/>
  <c r="M58" i="38" s="1"/>
  <c r="M59" i="38" s="1"/>
  <c r="M60" i="38" s="1"/>
  <c r="M61" i="38" s="1"/>
  <c r="M62" i="38" s="1"/>
  <c r="M63" i="38" s="1"/>
  <c r="M64" i="38" s="1"/>
  <c r="M65" i="38" s="1"/>
  <c r="M66" i="38" s="1"/>
  <c r="M67" i="38" s="1"/>
  <c r="M68" i="38" s="1"/>
  <c r="M69" i="38" s="1"/>
  <c r="M70" i="38" s="1"/>
  <c r="M71" i="38" s="1"/>
  <c r="M72" i="38" s="1"/>
  <c r="M73" i="38" s="1"/>
  <c r="M74" i="38" s="1"/>
  <c r="M75" i="38" s="1"/>
  <c r="M76" i="38" s="1"/>
  <c r="M77" i="38" s="1"/>
  <c r="M78" i="38" s="1"/>
  <c r="M79" i="38" s="1"/>
  <c r="M80" i="38" s="1"/>
  <c r="M81" i="38" s="1"/>
  <c r="M82" i="38" s="1"/>
  <c r="M83" i="38" s="1"/>
  <c r="M84" i="38" s="1"/>
  <c r="M85" i="38" s="1"/>
  <c r="M86" i="38" s="1"/>
  <c r="M87" i="38" s="1"/>
  <c r="J36" i="38"/>
  <c r="K36" i="38" s="1"/>
  <c r="I32" i="38"/>
  <c r="C32" i="38"/>
  <c r="D31" i="38"/>
  <c r="D30" i="38"/>
  <c r="D29" i="38"/>
  <c r="D28" i="38"/>
  <c r="D27" i="38"/>
  <c r="D26" i="38"/>
  <c r="D25" i="38"/>
  <c r="D24" i="38"/>
  <c r="D23" i="38"/>
  <c r="D22" i="38"/>
  <c r="D21" i="38"/>
  <c r="D20" i="38"/>
  <c r="D19" i="38"/>
  <c r="D18" i="38"/>
  <c r="D17" i="38"/>
  <c r="D16" i="38"/>
  <c r="D15" i="38"/>
  <c r="D14" i="38"/>
  <c r="D13" i="38"/>
  <c r="D12" i="38"/>
  <c r="D11" i="38"/>
  <c r="D10" i="38"/>
  <c r="D9" i="38"/>
  <c r="D8" i="38"/>
  <c r="D7" i="38"/>
  <c r="D6" i="38"/>
  <c r="D5" i="38"/>
  <c r="D4" i="38"/>
  <c r="D3" i="38"/>
  <c r="D2" i="38"/>
  <c r="M31" i="37"/>
  <c r="N31" i="37" s="1"/>
  <c r="M29" i="37"/>
  <c r="N29" i="37" s="1"/>
  <c r="L25" i="37"/>
  <c r="L24" i="37"/>
  <c r="D24" i="37"/>
  <c r="X22" i="37"/>
  <c r="V22" i="37"/>
  <c r="E22" i="37"/>
  <c r="V21" i="37"/>
  <c r="E21" i="37"/>
  <c r="V20" i="37"/>
  <c r="E20" i="37"/>
  <c r="V19" i="37"/>
  <c r="E19" i="37"/>
  <c r="V18" i="37"/>
  <c r="E18" i="37"/>
  <c r="V17" i="37"/>
  <c r="X19" i="37" s="1"/>
  <c r="E17" i="37"/>
  <c r="V16" i="37"/>
  <c r="X16" i="37" s="1"/>
  <c r="E16" i="37"/>
  <c r="V15" i="37"/>
  <c r="E15" i="37"/>
  <c r="V14" i="37"/>
  <c r="E14" i="37"/>
  <c r="V13" i="37"/>
  <c r="E13" i="37"/>
  <c r="V12" i="37"/>
  <c r="E12" i="37"/>
  <c r="V11" i="37"/>
  <c r="X13" i="37" s="1"/>
  <c r="E11" i="37"/>
  <c r="AF10" i="37"/>
  <c r="V10" i="37"/>
  <c r="E10" i="37"/>
  <c r="AF9" i="37"/>
  <c r="V9" i="37"/>
  <c r="X10" i="37" s="1"/>
  <c r="E9" i="37"/>
  <c r="AF8" i="37"/>
  <c r="AH10" i="37" s="1"/>
  <c r="V8" i="37"/>
  <c r="E8" i="37"/>
  <c r="V7" i="37"/>
  <c r="E7" i="37"/>
  <c r="V6" i="37"/>
  <c r="E6" i="37"/>
  <c r="V5" i="37"/>
  <c r="X7" i="37" s="1"/>
  <c r="E5" i="37"/>
  <c r="V37" i="36"/>
  <c r="U37" i="36"/>
  <c r="V36" i="36"/>
  <c r="U36" i="36"/>
  <c r="V35" i="36"/>
  <c r="U35" i="36"/>
  <c r="O35" i="36"/>
  <c r="O36" i="36" s="1"/>
  <c r="O37" i="36" s="1"/>
  <c r="O38" i="36" s="1"/>
  <c r="O39" i="36" s="1"/>
  <c r="O40" i="36" s="1"/>
  <c r="O41" i="36" s="1"/>
  <c r="O42" i="36" s="1"/>
  <c r="O43" i="36" s="1"/>
  <c r="O44" i="36" s="1"/>
  <c r="O45" i="36" s="1"/>
  <c r="O46" i="36" s="1"/>
  <c r="O47" i="36" s="1"/>
  <c r="O48" i="36" s="1"/>
  <c r="O49" i="36" s="1"/>
  <c r="O50" i="36" s="1"/>
  <c r="V34" i="36"/>
  <c r="U34" i="36"/>
  <c r="O34" i="36"/>
  <c r="N29" i="36"/>
  <c r="N30" i="36" s="1"/>
  <c r="N31" i="36" s="1"/>
  <c r="N32" i="36" s="1"/>
  <c r="N33" i="36" s="1"/>
  <c r="N34" i="36" s="1"/>
  <c r="N35" i="36" s="1"/>
  <c r="N36" i="36" s="1"/>
  <c r="N37" i="36" s="1"/>
  <c r="N38" i="36" s="1"/>
  <c r="N39" i="36" s="1"/>
  <c r="N40" i="36" s="1"/>
  <c r="N41" i="36" s="1"/>
  <c r="N42" i="36" s="1"/>
  <c r="N43" i="36" s="1"/>
  <c r="N44" i="36" s="1"/>
  <c r="N45" i="36" s="1"/>
  <c r="N46" i="36" s="1"/>
  <c r="N47" i="36" s="1"/>
  <c r="N48" i="36" s="1"/>
  <c r="N49" i="36" s="1"/>
  <c r="N50" i="36" s="1"/>
  <c r="N51" i="36" s="1"/>
  <c r="N52" i="36" s="1"/>
  <c r="N53" i="36" s="1"/>
  <c r="N54" i="36" s="1"/>
  <c r="N55" i="36" s="1"/>
  <c r="N56" i="36" s="1"/>
  <c r="N28" i="36"/>
  <c r="K24" i="36"/>
  <c r="J24" i="36"/>
  <c r="I20" i="36"/>
  <c r="C20" i="36"/>
  <c r="U19" i="36"/>
  <c r="D19" i="36"/>
  <c r="U18" i="36"/>
  <c r="V17" i="36" s="1"/>
  <c r="D18" i="36"/>
  <c r="U17" i="36"/>
  <c r="D17" i="36"/>
  <c r="U16" i="36"/>
  <c r="D16" i="36"/>
  <c r="U15" i="36"/>
  <c r="V15" i="36" s="1"/>
  <c r="D15" i="36"/>
  <c r="U14" i="36"/>
  <c r="D14" i="36"/>
  <c r="U13" i="36"/>
  <c r="V12" i="36" s="1"/>
  <c r="Y6" i="36" s="1"/>
  <c r="D13" i="36"/>
  <c r="U12" i="36"/>
  <c r="D12" i="36"/>
  <c r="U11" i="36"/>
  <c r="D11" i="36"/>
  <c r="U10" i="36"/>
  <c r="D10" i="36"/>
  <c r="U9" i="36"/>
  <c r="V9" i="36" s="1"/>
  <c r="Y5" i="36" s="1"/>
  <c r="D9" i="36"/>
  <c r="U8" i="36"/>
  <c r="D8" i="36"/>
  <c r="U7" i="36"/>
  <c r="D7" i="36"/>
  <c r="U6" i="36"/>
  <c r="V6" i="36" s="1"/>
  <c r="Y4" i="36" s="1"/>
  <c r="D6" i="36"/>
  <c r="U5" i="36"/>
  <c r="D5" i="36"/>
  <c r="U4" i="36"/>
  <c r="D4" i="36"/>
  <c r="U3" i="36"/>
  <c r="V3" i="36" s="1"/>
  <c r="Y3" i="36" s="1"/>
  <c r="D3" i="36"/>
  <c r="N29" i="35"/>
  <c r="M29" i="35"/>
  <c r="N27" i="35"/>
  <c r="M27" i="35"/>
  <c r="N25" i="35"/>
  <c r="M25" i="35"/>
  <c r="N23" i="35"/>
  <c r="M23" i="35"/>
  <c r="L19" i="35"/>
  <c r="L18" i="35"/>
  <c r="AD16" i="35"/>
  <c r="V16" i="35"/>
  <c r="AD15" i="35"/>
  <c r="V15" i="35"/>
  <c r="AD14" i="35"/>
  <c r="V14" i="35"/>
  <c r="AD13" i="35"/>
  <c r="V13" i="35"/>
  <c r="AD12" i="35"/>
  <c r="V12" i="35"/>
  <c r="AD11" i="35"/>
  <c r="V11" i="35"/>
  <c r="AD10" i="35"/>
  <c r="V10" i="35"/>
  <c r="E10" i="35"/>
  <c r="AD9" i="35"/>
  <c r="V9" i="35"/>
  <c r="E9" i="35"/>
  <c r="AD8" i="35"/>
  <c r="V8" i="35"/>
  <c r="E8" i="35"/>
  <c r="AD7" i="35"/>
  <c r="V7" i="35"/>
  <c r="E7" i="35"/>
  <c r="AD6" i="35"/>
  <c r="V6" i="35"/>
  <c r="E6" i="35"/>
  <c r="AD5" i="35"/>
  <c r="V5" i="35"/>
  <c r="E5" i="35"/>
  <c r="E14" i="34"/>
  <c r="E12" i="34"/>
  <c r="E8" i="34"/>
  <c r="E7" i="34"/>
  <c r="E6" i="34"/>
  <c r="E5" i="34"/>
  <c r="E4" i="34"/>
  <c r="E3" i="34"/>
  <c r="O32" i="33"/>
  <c r="O33" i="33" s="1"/>
  <c r="O34" i="33" s="1"/>
  <c r="O35" i="33" s="1"/>
  <c r="O36" i="33" s="1"/>
  <c r="O37" i="33" s="1"/>
  <c r="O38" i="33" s="1"/>
  <c r="O39" i="33" s="1"/>
  <c r="O40" i="33" s="1"/>
  <c r="O41" i="33" s="1"/>
  <c r="O42" i="33" s="1"/>
  <c r="O43" i="33" s="1"/>
  <c r="O44" i="33" s="1"/>
  <c r="O45" i="33" s="1"/>
  <c r="N26" i="33"/>
  <c r="N27" i="33" s="1"/>
  <c r="N28" i="33" s="1"/>
  <c r="N29" i="33" s="1"/>
  <c r="N30" i="33" s="1"/>
  <c r="N31" i="33" s="1"/>
  <c r="N32" i="33" s="1"/>
  <c r="N33" i="33" s="1"/>
  <c r="N34" i="33" s="1"/>
  <c r="N35" i="33" s="1"/>
  <c r="N36" i="33" s="1"/>
  <c r="N37" i="33" s="1"/>
  <c r="N38" i="33" s="1"/>
  <c r="N39" i="33" s="1"/>
  <c r="N40" i="33" s="1"/>
  <c r="N41" i="33" s="1"/>
  <c r="N42" i="33" s="1"/>
  <c r="N43" i="33" s="1"/>
  <c r="N44" i="33" s="1"/>
  <c r="N45" i="33" s="1"/>
  <c r="N46" i="33" s="1"/>
  <c r="N47" i="33" s="1"/>
  <c r="N48" i="33" s="1"/>
  <c r="N49" i="33" s="1"/>
  <c r="N50" i="33" s="1"/>
  <c r="N51" i="33" s="1"/>
  <c r="N52" i="33" s="1"/>
  <c r="J22" i="33"/>
  <c r="K22" i="33" s="1"/>
  <c r="I18" i="33"/>
  <c r="C18" i="33"/>
  <c r="U17" i="33"/>
  <c r="D17" i="33"/>
  <c r="U16" i="33"/>
  <c r="D16" i="33"/>
  <c r="U15" i="33"/>
  <c r="D15" i="33"/>
  <c r="U14" i="33"/>
  <c r="D14" i="33"/>
  <c r="U13" i="33"/>
  <c r="D13" i="33"/>
  <c r="U12" i="33"/>
  <c r="D12" i="33"/>
  <c r="U11" i="33"/>
  <c r="D11" i="33"/>
  <c r="U10" i="33"/>
  <c r="D10" i="33"/>
  <c r="U9" i="33"/>
  <c r="D9" i="33"/>
  <c r="U8" i="33"/>
  <c r="D8" i="33"/>
  <c r="U7" i="33"/>
  <c r="D7" i="33"/>
  <c r="U6" i="33"/>
  <c r="D6" i="33"/>
  <c r="U5" i="33"/>
  <c r="D5" i="33"/>
  <c r="U4" i="33"/>
  <c r="D4" i="33"/>
  <c r="U3" i="33"/>
  <c r="D3" i="33"/>
  <c r="L30" i="32"/>
  <c r="M30" i="32" s="1"/>
  <c r="L28" i="32"/>
  <c r="M28" i="32" s="1"/>
  <c r="L26" i="32"/>
  <c r="M26" i="32" s="1"/>
  <c r="K22" i="32"/>
  <c r="K21" i="32"/>
  <c r="K20" i="32"/>
  <c r="K19" i="32"/>
  <c r="AC17" i="32"/>
  <c r="U17" i="32"/>
  <c r="AC16" i="32"/>
  <c r="U16" i="32"/>
  <c r="AC15" i="32"/>
  <c r="U15" i="32"/>
  <c r="AC14" i="32"/>
  <c r="U14" i="32"/>
  <c r="E14" i="32"/>
  <c r="AC13" i="32"/>
  <c r="U13" i="32"/>
  <c r="E13" i="32"/>
  <c r="AC12" i="32"/>
  <c r="U12" i="32"/>
  <c r="AC11" i="32"/>
  <c r="U11" i="32"/>
  <c r="AC10" i="32"/>
  <c r="U10" i="32"/>
  <c r="AC9" i="32"/>
  <c r="U9" i="32"/>
  <c r="E9" i="32"/>
  <c r="AC8" i="32"/>
  <c r="U8" i="32"/>
  <c r="AC7" i="32"/>
  <c r="U7" i="32"/>
  <c r="AC6" i="32"/>
  <c r="U6" i="32"/>
  <c r="E5" i="32"/>
  <c r="AC4" i="32"/>
  <c r="U4" i="32"/>
  <c r="E4" i="32"/>
  <c r="AC3" i="32"/>
  <c r="U3" i="32"/>
  <c r="E3" i="32"/>
  <c r="E46" i="31"/>
  <c r="D42" i="31"/>
  <c r="D43" i="31" s="1"/>
  <c r="D44" i="31" s="1"/>
  <c r="D45" i="31" s="1"/>
  <c r="D46" i="31" s="1"/>
  <c r="D47" i="31" s="1"/>
  <c r="D48" i="31" s="1"/>
  <c r="D49" i="31" s="1"/>
  <c r="D50" i="31" s="1"/>
  <c r="D41" i="31"/>
  <c r="E30" i="31"/>
  <c r="D25" i="31"/>
  <c r="D26" i="31" s="1"/>
  <c r="D27" i="31" s="1"/>
  <c r="D28" i="31" s="1"/>
  <c r="D29" i="31" s="1"/>
  <c r="D30" i="31" s="1"/>
  <c r="D31" i="31" s="1"/>
  <c r="D32" i="31" s="1"/>
  <c r="D33" i="31" s="1"/>
  <c r="D34" i="31" s="1"/>
  <c r="K21" i="31"/>
  <c r="K15" i="31"/>
  <c r="K14" i="31"/>
  <c r="K16" i="31" s="1"/>
  <c r="K13" i="31"/>
  <c r="H11" i="31"/>
  <c r="J10" i="31"/>
  <c r="L10" i="31" s="1"/>
  <c r="H10" i="31"/>
  <c r="H12" i="31" s="1"/>
  <c r="H13" i="31" s="1"/>
  <c r="H9" i="31"/>
  <c r="L8" i="31"/>
  <c r="H8" i="31"/>
  <c r="A6" i="31"/>
  <c r="K35" i="30"/>
  <c r="L33" i="30"/>
  <c r="M33" i="30" s="1"/>
  <c r="L31" i="30"/>
  <c r="M31" i="30" s="1"/>
  <c r="L29" i="30"/>
  <c r="M29" i="30" s="1"/>
  <c r="M27" i="30"/>
  <c r="L27" i="30"/>
  <c r="K22" i="30"/>
  <c r="K21" i="30"/>
  <c r="K20" i="30"/>
  <c r="K19" i="30"/>
  <c r="K23" i="30" s="1"/>
  <c r="AC17" i="30"/>
  <c r="U17" i="30"/>
  <c r="AC16" i="30"/>
  <c r="U16" i="30"/>
  <c r="AC15" i="30"/>
  <c r="U15" i="30"/>
  <c r="AC14" i="30"/>
  <c r="U14" i="30"/>
  <c r="E14" i="30"/>
  <c r="AC13" i="30"/>
  <c r="U13" i="30"/>
  <c r="E13" i="30"/>
  <c r="AC12" i="30"/>
  <c r="U12" i="30"/>
  <c r="AC11" i="30"/>
  <c r="U11" i="30"/>
  <c r="AC10" i="30"/>
  <c r="U10" i="30"/>
  <c r="AC9" i="30"/>
  <c r="U9" i="30"/>
  <c r="E9" i="30"/>
  <c r="AC8" i="30"/>
  <c r="U8" i="30"/>
  <c r="AC7" i="30"/>
  <c r="U7" i="30"/>
  <c r="AC6" i="30"/>
  <c r="U6" i="30"/>
  <c r="AC5" i="30"/>
  <c r="U5" i="30"/>
  <c r="E5" i="30"/>
  <c r="AC4" i="30"/>
  <c r="U4" i="30"/>
  <c r="E4" i="30"/>
  <c r="AC3" i="30"/>
  <c r="U3" i="30"/>
  <c r="E3" i="30"/>
  <c r="N40" i="29"/>
  <c r="M40" i="29"/>
  <c r="L40" i="29"/>
  <c r="K40" i="29"/>
  <c r="J40" i="29"/>
  <c r="I40" i="29"/>
  <c r="H40" i="29"/>
  <c r="G40" i="29"/>
  <c r="F40" i="29"/>
  <c r="E40" i="29"/>
  <c r="D40" i="29"/>
  <c r="C40" i="29"/>
  <c r="N39" i="29"/>
  <c r="N41" i="29" s="1"/>
  <c r="M39" i="29"/>
  <c r="M41" i="29" s="1"/>
  <c r="L39" i="29"/>
  <c r="L41" i="29" s="1"/>
  <c r="L42" i="29" s="1"/>
  <c r="D49" i="29" s="1"/>
  <c r="K39" i="29"/>
  <c r="K41" i="29" s="1"/>
  <c r="J39" i="29"/>
  <c r="J41" i="29" s="1"/>
  <c r="I39" i="29"/>
  <c r="I41" i="29" s="1"/>
  <c r="I42" i="29" s="1"/>
  <c r="D48" i="29" s="1"/>
  <c r="H39" i="29"/>
  <c r="H41" i="29" s="1"/>
  <c r="G39" i="29"/>
  <c r="G41" i="29" s="1"/>
  <c r="F39" i="29"/>
  <c r="F41" i="29" s="1"/>
  <c r="F42" i="29" s="1"/>
  <c r="E39" i="29"/>
  <c r="E41" i="29" s="1"/>
  <c r="D39" i="29"/>
  <c r="D41" i="29" s="1"/>
  <c r="C39" i="29"/>
  <c r="C41" i="29" s="1"/>
  <c r="B36" i="29"/>
  <c r="N30" i="29"/>
  <c r="M30" i="29"/>
  <c r="L30" i="29"/>
  <c r="L32" i="29" s="1"/>
  <c r="K30" i="29"/>
  <c r="J30" i="29"/>
  <c r="J32" i="29" s="1"/>
  <c r="I30" i="29"/>
  <c r="I32" i="29" s="1"/>
  <c r="I33" i="29" s="1"/>
  <c r="C48" i="29" s="1"/>
  <c r="H30" i="29"/>
  <c r="G30" i="29"/>
  <c r="F30" i="29"/>
  <c r="F31" i="29" s="1"/>
  <c r="E30" i="29"/>
  <c r="D30" i="29"/>
  <c r="D32" i="29" s="1"/>
  <c r="C30" i="29"/>
  <c r="C31" i="29" s="1"/>
  <c r="N29" i="29"/>
  <c r="N32" i="29" s="1"/>
  <c r="M29" i="29"/>
  <c r="M32" i="29" s="1"/>
  <c r="L29" i="29"/>
  <c r="K29" i="29"/>
  <c r="K32" i="29" s="1"/>
  <c r="J29" i="29"/>
  <c r="I29" i="29"/>
  <c r="H29" i="29"/>
  <c r="H32" i="29" s="1"/>
  <c r="G29" i="29"/>
  <c r="G32" i="29" s="1"/>
  <c r="F29" i="29"/>
  <c r="F32" i="29" s="1"/>
  <c r="F33" i="29" s="1"/>
  <c r="E29" i="29"/>
  <c r="E32" i="29" s="1"/>
  <c r="D29" i="29"/>
  <c r="C29" i="29"/>
  <c r="C32" i="29" s="1"/>
  <c r="O28" i="29"/>
  <c r="B17" i="29"/>
  <c r="G9" i="29"/>
  <c r="J9" i="29" s="1"/>
  <c r="J11" i="29" s="1"/>
  <c r="G7" i="29"/>
  <c r="G5" i="29"/>
  <c r="J2" i="29" s="1"/>
  <c r="J4" i="29" s="1"/>
  <c r="D4" i="29"/>
  <c r="N35" i="28"/>
  <c r="M35" i="28"/>
  <c r="L35" i="28"/>
  <c r="L36" i="28" s="1"/>
  <c r="N34" i="28"/>
  <c r="M34" i="28"/>
  <c r="L34" i="28"/>
  <c r="N33" i="28"/>
  <c r="M33" i="28"/>
  <c r="L33" i="28"/>
  <c r="N30" i="28"/>
  <c r="M30" i="28"/>
  <c r="L31" i="28" s="1"/>
  <c r="L37" i="28" s="1"/>
  <c r="L38" i="28" s="1"/>
  <c r="L30" i="28"/>
  <c r="K30" i="28"/>
  <c r="J30" i="28"/>
  <c r="I30" i="28"/>
  <c r="I31" i="28" s="1"/>
  <c r="I37" i="28" s="1"/>
  <c r="I38" i="28" s="1"/>
  <c r="H30" i="28"/>
  <c r="G30" i="28"/>
  <c r="F30" i="28"/>
  <c r="F31" i="28" s="1"/>
  <c r="E30" i="28"/>
  <c r="D30" i="28"/>
  <c r="C30" i="28"/>
  <c r="C31" i="28" s="1"/>
  <c r="N29" i="28"/>
  <c r="M29" i="28"/>
  <c r="L29" i="28"/>
  <c r="K29" i="28"/>
  <c r="J29" i="28"/>
  <c r="I29" i="28"/>
  <c r="H29" i="28"/>
  <c r="G29" i="28"/>
  <c r="F29" i="28"/>
  <c r="E29" i="28"/>
  <c r="D29" i="28"/>
  <c r="C29" i="28"/>
  <c r="N28" i="28"/>
  <c r="M28" i="28"/>
  <c r="L28" i="28"/>
  <c r="K28" i="28"/>
  <c r="J28" i="28"/>
  <c r="I28" i="28"/>
  <c r="H28" i="28"/>
  <c r="G28" i="28"/>
  <c r="F28" i="28"/>
  <c r="E28" i="28"/>
  <c r="D28" i="28"/>
  <c r="C28" i="28"/>
  <c r="D11" i="28"/>
  <c r="G5" i="28"/>
  <c r="G7" i="28" s="1"/>
  <c r="G9" i="28" s="1"/>
  <c r="J9" i="28" s="1"/>
  <c r="J11" i="28" s="1"/>
  <c r="B38" i="28" s="1"/>
  <c r="J4" i="28"/>
  <c r="J5" i="28" s="1"/>
  <c r="J2" i="28"/>
  <c r="H31" i="27"/>
  <c r="J29" i="27"/>
  <c r="J31" i="27" s="1"/>
  <c r="I29" i="27"/>
  <c r="J27" i="27"/>
  <c r="I27" i="27"/>
  <c r="J25" i="27"/>
  <c r="I25" i="27"/>
  <c r="J21" i="27"/>
  <c r="AA18" i="27"/>
  <c r="T18" i="27"/>
  <c r="E18" i="27"/>
  <c r="AA17" i="27"/>
  <c r="T17" i="27"/>
  <c r="E17" i="27"/>
  <c r="AA16" i="27"/>
  <c r="T16" i="27"/>
  <c r="E16" i="27"/>
  <c r="AA15" i="27"/>
  <c r="T15" i="27"/>
  <c r="E15" i="27"/>
  <c r="AA14" i="27"/>
  <c r="T14" i="27"/>
  <c r="E14" i="27"/>
  <c r="AA13" i="27"/>
  <c r="T13" i="27"/>
  <c r="E13" i="27"/>
  <c r="AA12" i="27"/>
  <c r="T12" i="27"/>
  <c r="AA11" i="27"/>
  <c r="T11" i="27"/>
  <c r="AA10" i="27"/>
  <c r="T10" i="27"/>
  <c r="AA9" i="27"/>
  <c r="T9" i="27"/>
  <c r="E9" i="27"/>
  <c r="AA8" i="27"/>
  <c r="T8" i="27"/>
  <c r="AA7" i="27"/>
  <c r="T7" i="27"/>
  <c r="AA6" i="27"/>
  <c r="T6" i="27"/>
  <c r="AA5" i="27"/>
  <c r="T5" i="27"/>
  <c r="E5" i="27"/>
  <c r="AA4" i="27"/>
  <c r="T4" i="27"/>
  <c r="E4" i="27"/>
  <c r="AA3" i="27"/>
  <c r="T3" i="27"/>
  <c r="E3" i="27"/>
  <c r="D27" i="25"/>
  <c r="G25" i="25"/>
  <c r="J25" i="25" s="1"/>
  <c r="J27" i="25" s="1"/>
  <c r="G23" i="25"/>
  <c r="G21" i="25"/>
  <c r="J18" i="25" s="1"/>
  <c r="J20" i="25" s="1"/>
  <c r="J21" i="25" s="1"/>
  <c r="L14" i="25"/>
  <c r="N13" i="25"/>
  <c r="M13" i="25"/>
  <c r="L13" i="25"/>
  <c r="K13" i="25"/>
  <c r="J13" i="25"/>
  <c r="I13" i="25"/>
  <c r="I14" i="25" s="1"/>
  <c r="H13" i="25"/>
  <c r="F14" i="25" s="1"/>
  <c r="G13" i="25"/>
  <c r="F13" i="25"/>
  <c r="E13" i="25"/>
  <c r="D13" i="25"/>
  <c r="C14" i="25" s="1"/>
  <c r="C13" i="25"/>
  <c r="Q11" i="25"/>
  <c r="P11" i="25"/>
  <c r="O11" i="25"/>
  <c r="N11" i="25"/>
  <c r="M11" i="25"/>
  <c r="L11" i="25"/>
  <c r="K11" i="25"/>
  <c r="J11" i="25"/>
  <c r="I11" i="25"/>
  <c r="H11" i="25"/>
  <c r="G11" i="25"/>
  <c r="F11" i="25"/>
  <c r="E11" i="25"/>
  <c r="D11" i="25"/>
  <c r="C11" i="25"/>
  <c r="A7" i="24"/>
  <c r="J31" i="23"/>
  <c r="I31" i="23"/>
  <c r="J29" i="23"/>
  <c r="I29" i="23"/>
  <c r="J27" i="23"/>
  <c r="I27" i="23"/>
  <c r="J25" i="23"/>
  <c r="I25" i="23"/>
  <c r="J21" i="23"/>
  <c r="Z18" i="23"/>
  <c r="S18" i="23"/>
  <c r="E18" i="23"/>
  <c r="Z17" i="23"/>
  <c r="S17" i="23"/>
  <c r="E17" i="23"/>
  <c r="Z16" i="23"/>
  <c r="S16" i="23"/>
  <c r="E16" i="23"/>
  <c r="Z15" i="23"/>
  <c r="S15" i="23"/>
  <c r="E15" i="23"/>
  <c r="Z14" i="23"/>
  <c r="S14" i="23"/>
  <c r="E14" i="23"/>
  <c r="Z13" i="23"/>
  <c r="S13" i="23"/>
  <c r="E13" i="23"/>
  <c r="Z12" i="23"/>
  <c r="S12" i="23"/>
  <c r="Z11" i="23"/>
  <c r="S11" i="23"/>
  <c r="Z10" i="23"/>
  <c r="S10" i="23"/>
  <c r="Z9" i="23"/>
  <c r="S9" i="23"/>
  <c r="E9" i="23"/>
  <c r="Z8" i="23"/>
  <c r="S8" i="23"/>
  <c r="Z7" i="23"/>
  <c r="S7" i="23"/>
  <c r="Z6" i="23"/>
  <c r="S6" i="23"/>
  <c r="Z5" i="23"/>
  <c r="S5" i="23"/>
  <c r="E5" i="23"/>
  <c r="Z4" i="23"/>
  <c r="S4" i="23"/>
  <c r="E4" i="23"/>
  <c r="Z3" i="23"/>
  <c r="S3" i="23"/>
  <c r="E3" i="23"/>
  <c r="J45" i="21"/>
  <c r="I43" i="21"/>
  <c r="I44" i="21" s="1"/>
  <c r="I45" i="21" s="1"/>
  <c r="I46" i="21" s="1"/>
  <c r="I47" i="21" s="1"/>
  <c r="I48" i="21" s="1"/>
  <c r="I49" i="21" s="1"/>
  <c r="I42" i="21"/>
  <c r="I41" i="21"/>
  <c r="I40" i="21"/>
  <c r="J29" i="21"/>
  <c r="I24" i="21"/>
  <c r="I25" i="21" s="1"/>
  <c r="I26" i="21" s="1"/>
  <c r="I27" i="21" s="1"/>
  <c r="I28" i="21" s="1"/>
  <c r="I29" i="21" s="1"/>
  <c r="I30" i="21" s="1"/>
  <c r="I31" i="21" s="1"/>
  <c r="I32" i="21" s="1"/>
  <c r="I33" i="21" s="1"/>
  <c r="P20" i="21"/>
  <c r="P14" i="21"/>
  <c r="P13" i="21"/>
  <c r="P15" i="21" s="1"/>
  <c r="P12" i="21"/>
  <c r="M10" i="21"/>
  <c r="G10" i="21"/>
  <c r="O9" i="21" s="1"/>
  <c r="Q9" i="21" s="1"/>
  <c r="M9" i="21"/>
  <c r="M11" i="21" s="1"/>
  <c r="M12" i="21" s="1"/>
  <c r="M8" i="21"/>
  <c r="Q7" i="21"/>
  <c r="M7" i="21"/>
  <c r="F5" i="21"/>
  <c r="J27" i="20"/>
  <c r="K27" i="20" s="1"/>
  <c r="J25" i="20"/>
  <c r="K25" i="20" s="1"/>
  <c r="K22" i="20"/>
  <c r="K21" i="20"/>
  <c r="AA18" i="20"/>
  <c r="T18" i="20"/>
  <c r="E18" i="20"/>
  <c r="AA17" i="20"/>
  <c r="T17" i="20"/>
  <c r="E17" i="20"/>
  <c r="AA16" i="20"/>
  <c r="T16" i="20"/>
  <c r="E16" i="20"/>
  <c r="AA15" i="20"/>
  <c r="T15" i="20"/>
  <c r="E15" i="20"/>
  <c r="AA14" i="20"/>
  <c r="T14" i="20"/>
  <c r="E14" i="20"/>
  <c r="AA13" i="20"/>
  <c r="T13" i="20"/>
  <c r="E13" i="20"/>
  <c r="AA12" i="20"/>
  <c r="T12" i="20"/>
  <c r="AA11" i="20"/>
  <c r="T11" i="20"/>
  <c r="AA10" i="20"/>
  <c r="T10" i="20"/>
  <c r="AA9" i="20"/>
  <c r="T9" i="20"/>
  <c r="E9" i="20"/>
  <c r="AA8" i="20"/>
  <c r="T8" i="20"/>
  <c r="AA7" i="20"/>
  <c r="T7" i="20"/>
  <c r="AA6" i="20"/>
  <c r="T6" i="20"/>
  <c r="AA5" i="20"/>
  <c r="T5" i="20"/>
  <c r="E5" i="20"/>
  <c r="AA4" i="20"/>
  <c r="T4" i="20"/>
  <c r="E4" i="20"/>
  <c r="AA3" i="20"/>
  <c r="T3" i="20"/>
  <c r="E3" i="20"/>
  <c r="H42" i="19"/>
  <c r="F42" i="19"/>
  <c r="H41" i="19"/>
  <c r="F41" i="19"/>
  <c r="H40" i="19"/>
  <c r="F40" i="19"/>
  <c r="H39" i="19"/>
  <c r="F39" i="19"/>
  <c r="H38" i="19"/>
  <c r="F38" i="19"/>
  <c r="H37" i="19"/>
  <c r="F37" i="19"/>
  <c r="H36" i="19"/>
  <c r="F36" i="19"/>
  <c r="H35" i="19"/>
  <c r="F35" i="19"/>
  <c r="H34" i="19"/>
  <c r="F34" i="19"/>
  <c r="H33" i="19"/>
  <c r="F33" i="19"/>
  <c r="H32" i="19"/>
  <c r="F32" i="19"/>
  <c r="H31" i="19"/>
  <c r="F31" i="19"/>
  <c r="H30" i="19"/>
  <c r="F30" i="19"/>
  <c r="H29" i="19"/>
  <c r="F29" i="19"/>
  <c r="H28" i="19"/>
  <c r="F28" i="19"/>
  <c r="H27" i="19"/>
  <c r="F27" i="19"/>
  <c r="H26" i="19"/>
  <c r="I25" i="19" s="1"/>
  <c r="F26" i="19"/>
  <c r="H25" i="19"/>
  <c r="F25" i="19"/>
  <c r="F21" i="19"/>
  <c r="F20" i="19"/>
  <c r="I19" i="19"/>
  <c r="F19" i="19"/>
  <c r="F16" i="19"/>
  <c r="K16" i="19" s="1"/>
  <c r="K15" i="19"/>
  <c r="J15" i="19"/>
  <c r="F15" i="19"/>
  <c r="K14" i="19"/>
  <c r="I14" i="19"/>
  <c r="H14" i="19"/>
  <c r="F14" i="19"/>
  <c r="F44" i="19" s="1"/>
  <c r="L5" i="19"/>
  <c r="L4" i="19"/>
  <c r="L3" i="19"/>
  <c r="L2" i="19"/>
  <c r="L6" i="19" s="1"/>
  <c r="N1" i="19" s="1"/>
  <c r="N7" i="19" s="1"/>
  <c r="F2" i="19"/>
  <c r="K29" i="17"/>
  <c r="L29" i="17" s="1"/>
  <c r="L25" i="17"/>
  <c r="U22" i="17"/>
  <c r="U21" i="17"/>
  <c r="U20" i="17"/>
  <c r="U19" i="17"/>
  <c r="U18" i="17"/>
  <c r="U17" i="17"/>
  <c r="U16" i="17"/>
  <c r="U15" i="17"/>
  <c r="U14" i="17"/>
  <c r="U13" i="17"/>
  <c r="U12" i="17"/>
  <c r="U11" i="17"/>
  <c r="U10" i="17"/>
  <c r="U9" i="17"/>
  <c r="U8" i="17"/>
  <c r="U7" i="17"/>
  <c r="U6" i="17"/>
  <c r="U5" i="17"/>
  <c r="U4" i="17"/>
  <c r="Q13" i="16"/>
  <c r="Y12" i="16"/>
  <c r="Q12" i="16"/>
  <c r="Q11" i="16"/>
  <c r="Y10" i="16"/>
  <c r="Q10" i="16"/>
  <c r="Q9" i="16"/>
  <c r="Q8" i="16"/>
  <c r="Q7" i="16"/>
  <c r="Q6" i="16"/>
  <c r="Q5" i="16"/>
  <c r="Q4" i="16"/>
  <c r="Y3" i="16"/>
  <c r="Q3" i="16"/>
  <c r="Q14" i="16" s="1"/>
  <c r="H31" i="15"/>
  <c r="H29" i="15"/>
  <c r="H27" i="15"/>
  <c r="H25" i="15"/>
  <c r="AA20" i="15"/>
  <c r="S20" i="15"/>
  <c r="AA19" i="15"/>
  <c r="S19" i="15"/>
  <c r="AA18" i="15"/>
  <c r="S18" i="15"/>
  <c r="T18" i="15" s="1"/>
  <c r="AA17" i="15"/>
  <c r="S17" i="15"/>
  <c r="AA16" i="15"/>
  <c r="S16" i="15"/>
  <c r="AA15" i="15"/>
  <c r="T15" i="15"/>
  <c r="S15" i="15"/>
  <c r="AA14" i="15"/>
  <c r="S14" i="15"/>
  <c r="AA13" i="15"/>
  <c r="S13" i="15"/>
  <c r="AA12" i="15"/>
  <c r="S12" i="15"/>
  <c r="T12" i="15" s="1"/>
  <c r="AA11" i="15"/>
  <c r="S11" i="15"/>
  <c r="AA10" i="15"/>
  <c r="S10" i="15"/>
  <c r="AA9" i="15"/>
  <c r="T9" i="15"/>
  <c r="S9" i="15"/>
  <c r="AA8" i="15"/>
  <c r="S8" i="15"/>
  <c r="AA7" i="15"/>
  <c r="S7" i="15"/>
  <c r="AA6" i="15"/>
  <c r="S6" i="15"/>
  <c r="T6" i="15" s="1"/>
  <c r="AA5" i="15"/>
  <c r="S5" i="15"/>
  <c r="T3" i="15" s="1"/>
  <c r="AA4" i="15"/>
  <c r="S4" i="15"/>
  <c r="AA3" i="15"/>
  <c r="S3" i="15"/>
  <c r="E33" i="14"/>
  <c r="E31" i="14"/>
  <c r="F34" i="14" s="1"/>
  <c r="E29" i="14"/>
  <c r="O24" i="14"/>
  <c r="O23" i="14"/>
  <c r="O22" i="14"/>
  <c r="O21" i="14"/>
  <c r="O20" i="14"/>
  <c r="O19" i="14"/>
  <c r="O18" i="14"/>
  <c r="O17" i="14"/>
  <c r="O16" i="14"/>
  <c r="O15" i="14"/>
  <c r="O14" i="14"/>
  <c r="O13" i="14"/>
  <c r="O12" i="14"/>
  <c r="O11" i="14"/>
  <c r="O10" i="14"/>
  <c r="O9" i="14"/>
  <c r="O8" i="14"/>
  <c r="O7" i="14"/>
  <c r="A7" i="14"/>
  <c r="A8" i="14" s="1"/>
  <c r="A9" i="14" s="1"/>
  <c r="A10" i="14" s="1"/>
  <c r="A11" i="14" s="1"/>
  <c r="A12" i="14" s="1"/>
  <c r="A13" i="14" s="1"/>
  <c r="A14" i="14" s="1"/>
  <c r="A15" i="14" s="1"/>
  <c r="A16" i="14" s="1"/>
  <c r="A17" i="14" s="1"/>
  <c r="A18" i="14" s="1"/>
  <c r="A19" i="14" s="1"/>
  <c r="A20" i="14" s="1"/>
  <c r="A21" i="14" s="1"/>
  <c r="A22" i="14" s="1"/>
  <c r="A23" i="14" s="1"/>
  <c r="A24" i="14" s="1"/>
  <c r="H27" i="14" s="1"/>
  <c r="O6" i="14"/>
  <c r="O5" i="14"/>
  <c r="O4" i="14"/>
  <c r="A4" i="14"/>
  <c r="A5" i="14" s="1"/>
  <c r="O3" i="14"/>
  <c r="F33" i="13"/>
  <c r="E33" i="13"/>
  <c r="F31" i="13"/>
  <c r="E31" i="13"/>
  <c r="F34" i="13" s="1"/>
  <c r="E29" i="13"/>
  <c r="F29" i="13" s="1"/>
  <c r="M23" i="13"/>
  <c r="M22" i="13"/>
  <c r="A22" i="13"/>
  <c r="A23" i="13" s="1"/>
  <c r="M21" i="13"/>
  <c r="A21" i="13"/>
  <c r="M20" i="13"/>
  <c r="W19" i="13"/>
  <c r="M19" i="13"/>
  <c r="M18" i="13"/>
  <c r="M17" i="13"/>
  <c r="M16" i="13"/>
  <c r="M15" i="13"/>
  <c r="M14" i="13"/>
  <c r="M13" i="13"/>
  <c r="M12" i="13"/>
  <c r="M11" i="13"/>
  <c r="M10" i="13"/>
  <c r="M9" i="13"/>
  <c r="M8" i="13"/>
  <c r="W7" i="13"/>
  <c r="M7" i="13"/>
  <c r="A7" i="13"/>
  <c r="A8" i="13" s="1"/>
  <c r="A9" i="13" s="1"/>
  <c r="A10" i="13" s="1"/>
  <c r="A11" i="13" s="1"/>
  <c r="A12" i="13" s="1"/>
  <c r="A13" i="13" s="1"/>
  <c r="A14" i="13" s="1"/>
  <c r="A15" i="13" s="1"/>
  <c r="A16" i="13" s="1"/>
  <c r="A17" i="13" s="1"/>
  <c r="M6" i="13"/>
  <c r="M5" i="13"/>
  <c r="M4" i="13"/>
  <c r="A4" i="13"/>
  <c r="A5" i="13" s="1"/>
  <c r="M3" i="13"/>
  <c r="E41" i="12"/>
  <c r="F41" i="12" s="1"/>
  <c r="E39" i="12"/>
  <c r="F39" i="12" s="1"/>
  <c r="E37" i="12"/>
  <c r="F37" i="12" s="1"/>
  <c r="E35" i="12"/>
  <c r="F35" i="12" s="1"/>
  <c r="E33" i="12"/>
  <c r="F33" i="12" s="1"/>
  <c r="E31" i="12"/>
  <c r="F31" i="12" s="1"/>
  <c r="E29" i="12"/>
  <c r="F29" i="12" s="1"/>
  <c r="G27" i="12"/>
  <c r="N24" i="12"/>
  <c r="N23" i="12"/>
  <c r="N22" i="12"/>
  <c r="N21" i="12"/>
  <c r="A21" i="12"/>
  <c r="A22" i="12" s="1"/>
  <c r="A23" i="12" s="1"/>
  <c r="N20" i="12"/>
  <c r="N19" i="12"/>
  <c r="N18" i="12"/>
  <c r="N17" i="12"/>
  <c r="N16" i="12"/>
  <c r="N15" i="12"/>
  <c r="N14" i="12"/>
  <c r="N13" i="12"/>
  <c r="N12" i="12"/>
  <c r="N11" i="12"/>
  <c r="N10" i="12"/>
  <c r="N9" i="12"/>
  <c r="N8" i="12"/>
  <c r="X7" i="12"/>
  <c r="N7" i="12"/>
  <c r="A7" i="12"/>
  <c r="A8" i="12" s="1"/>
  <c r="A9" i="12" s="1"/>
  <c r="A10" i="12" s="1"/>
  <c r="A11" i="12" s="1"/>
  <c r="A12" i="12" s="1"/>
  <c r="A13" i="12" s="1"/>
  <c r="A14" i="12" s="1"/>
  <c r="A15" i="12" s="1"/>
  <c r="A16" i="12" s="1"/>
  <c r="A17" i="12" s="1"/>
  <c r="A18" i="12" s="1"/>
  <c r="A19" i="12" s="1"/>
  <c r="N6" i="12"/>
  <c r="N5" i="12"/>
  <c r="N4" i="12"/>
  <c r="A4" i="12"/>
  <c r="A5" i="12" s="1"/>
  <c r="N3" i="12"/>
  <c r="D53" i="11"/>
  <c r="E51" i="11"/>
  <c r="F51" i="11" s="1"/>
  <c r="F49" i="11"/>
  <c r="E49" i="11"/>
  <c r="L48" i="11"/>
  <c r="J47" i="11"/>
  <c r="L50" i="11" s="1"/>
  <c r="E47" i="11"/>
  <c r="F47" i="11" s="1"/>
  <c r="E45" i="11"/>
  <c r="F45" i="11" s="1"/>
  <c r="F43" i="11"/>
  <c r="F53" i="11" s="1"/>
  <c r="E43" i="11"/>
  <c r="H43" i="11" s="1"/>
  <c r="H36" i="11"/>
  <c r="P35" i="11"/>
  <c r="P34" i="11"/>
  <c r="P33" i="11"/>
  <c r="P32" i="11"/>
  <c r="P31" i="11"/>
  <c r="P30" i="11"/>
  <c r="P29" i="11"/>
  <c r="P28" i="11"/>
  <c r="P27" i="11"/>
  <c r="P23" i="11"/>
  <c r="P22" i="11"/>
  <c r="P21" i="11"/>
  <c r="A21" i="11"/>
  <c r="A22" i="11" s="1"/>
  <c r="A23" i="11" s="1"/>
  <c r="P20" i="11"/>
  <c r="P19" i="11"/>
  <c r="P18" i="11"/>
  <c r="P17" i="11"/>
  <c r="P16" i="11"/>
  <c r="P15" i="11"/>
  <c r="P14" i="11"/>
  <c r="P13" i="11"/>
  <c r="P12" i="11"/>
  <c r="P11" i="11"/>
  <c r="P10" i="11"/>
  <c r="A10" i="11"/>
  <c r="A11" i="11" s="1"/>
  <c r="A12" i="11" s="1"/>
  <c r="A13" i="11" s="1"/>
  <c r="A14" i="11" s="1"/>
  <c r="A15" i="11" s="1"/>
  <c r="A16" i="11" s="1"/>
  <c r="A17" i="11" s="1"/>
  <c r="A18" i="11" s="1"/>
  <c r="A19" i="11" s="1"/>
  <c r="P9" i="11"/>
  <c r="A9" i="11"/>
  <c r="P8" i="11"/>
  <c r="A8" i="11"/>
  <c r="Z7" i="11"/>
  <c r="P7" i="11"/>
  <c r="A7" i="11"/>
  <c r="P6" i="11"/>
  <c r="P5" i="11"/>
  <c r="A5" i="11"/>
  <c r="P4" i="11"/>
  <c r="A4" i="11"/>
  <c r="P3" i="11"/>
  <c r="E30" i="10"/>
  <c r="G28" i="10"/>
  <c r="F28" i="10"/>
  <c r="G26" i="10"/>
  <c r="G30" i="10" s="1"/>
  <c r="F26" i="10"/>
  <c r="H21" i="10"/>
  <c r="N20" i="10"/>
  <c r="N19" i="10"/>
  <c r="N18" i="10"/>
  <c r="P18" i="10" s="1"/>
  <c r="N17" i="10"/>
  <c r="N16" i="10"/>
  <c r="P15" i="10"/>
  <c r="N15" i="10"/>
  <c r="N14" i="10"/>
  <c r="N13" i="10"/>
  <c r="N12" i="10"/>
  <c r="P12" i="10" s="1"/>
  <c r="N11" i="10"/>
  <c r="N10" i="10"/>
  <c r="N9" i="10"/>
  <c r="P9" i="10" s="1"/>
  <c r="A9" i="10"/>
  <c r="A10" i="10" s="1"/>
  <c r="A11" i="10" s="1"/>
  <c r="A12" i="10" s="1"/>
  <c r="A13" i="10" s="1"/>
  <c r="A14" i="10" s="1"/>
  <c r="A15" i="10" s="1"/>
  <c r="A16" i="10" s="1"/>
  <c r="A17" i="10" s="1"/>
  <c r="A18" i="10" s="1"/>
  <c r="A19" i="10" s="1"/>
  <c r="A20" i="10" s="1"/>
  <c r="N8" i="10"/>
  <c r="P6" i="10" s="1"/>
  <c r="A8" i="10"/>
  <c r="N7" i="10"/>
  <c r="A7" i="10"/>
  <c r="N6" i="10"/>
  <c r="N5" i="10"/>
  <c r="A5" i="10"/>
  <c r="N4" i="10"/>
  <c r="A4" i="10"/>
  <c r="N3" i="10"/>
  <c r="P3" i="10" s="1"/>
  <c r="F23" i="9"/>
  <c r="G23" i="9" s="1"/>
  <c r="I20" i="9"/>
  <c r="N18" i="9"/>
  <c r="N17" i="9"/>
  <c r="N16" i="9"/>
  <c r="N15" i="9"/>
  <c r="N14" i="9"/>
  <c r="N13" i="9"/>
  <c r="N12" i="9"/>
  <c r="N11" i="9"/>
  <c r="N10" i="9"/>
  <c r="N9" i="9"/>
  <c r="N8" i="9"/>
  <c r="N7" i="9"/>
  <c r="A7" i="9"/>
  <c r="A8" i="9" s="1"/>
  <c r="A9" i="9" s="1"/>
  <c r="A10" i="9" s="1"/>
  <c r="A11" i="9" s="1"/>
  <c r="A12" i="9" s="1"/>
  <c r="A13" i="9" s="1"/>
  <c r="A14" i="9" s="1"/>
  <c r="A15" i="9" s="1"/>
  <c r="A16" i="9" s="1"/>
  <c r="A17" i="9" s="1"/>
  <c r="A18" i="9" s="1"/>
  <c r="N6" i="9"/>
  <c r="N5" i="9"/>
  <c r="A5" i="9"/>
  <c r="N4" i="9"/>
  <c r="A4" i="9"/>
  <c r="N3" i="9"/>
  <c r="G29" i="8"/>
  <c r="F29" i="8"/>
  <c r="G27" i="8"/>
  <c r="F27" i="8"/>
  <c r="I24" i="8"/>
  <c r="N22" i="8"/>
  <c r="N21" i="8"/>
  <c r="N20" i="8"/>
  <c r="N19" i="8"/>
  <c r="N18" i="8"/>
  <c r="N17" i="8"/>
  <c r="N16" i="8"/>
  <c r="N15" i="8"/>
  <c r="P15" i="8" s="1"/>
  <c r="N14" i="8"/>
  <c r="N13" i="8"/>
  <c r="N12" i="8"/>
  <c r="N11" i="8"/>
  <c r="N10" i="8"/>
  <c r="A10" i="8"/>
  <c r="A11" i="8" s="1"/>
  <c r="A12" i="8" s="1"/>
  <c r="A13" i="8" s="1"/>
  <c r="A14" i="8" s="1"/>
  <c r="A15" i="8" s="1"/>
  <c r="A16" i="8" s="1"/>
  <c r="A17" i="8" s="1"/>
  <c r="A18" i="8" s="1"/>
  <c r="N9" i="8"/>
  <c r="N8" i="8"/>
  <c r="N7" i="8"/>
  <c r="P7" i="8" s="1"/>
  <c r="A7" i="8"/>
  <c r="A8" i="8" s="1"/>
  <c r="A9" i="8" s="1"/>
  <c r="N6" i="8"/>
  <c r="N5" i="8"/>
  <c r="N4" i="8"/>
  <c r="A4" i="8"/>
  <c r="A5" i="8" s="1"/>
  <c r="N3" i="8"/>
  <c r="P3" i="8" s="1"/>
  <c r="E43" i="7"/>
  <c r="F41" i="7"/>
  <c r="H41" i="7" s="1"/>
  <c r="F39" i="7"/>
  <c r="H39" i="7" s="1"/>
  <c r="F37" i="7"/>
  <c r="H37" i="7" s="1"/>
  <c r="F35" i="7"/>
  <c r="H35" i="7" s="1"/>
  <c r="F33" i="7"/>
  <c r="H33" i="7" s="1"/>
  <c r="F31" i="7"/>
  <c r="H31" i="7" s="1"/>
  <c r="F29" i="7"/>
  <c r="M23" i="7"/>
  <c r="M22" i="7"/>
  <c r="M21" i="7"/>
  <c r="M20" i="7"/>
  <c r="M19" i="7"/>
  <c r="M18" i="7"/>
  <c r="O18" i="7" s="1"/>
  <c r="M17" i="7"/>
  <c r="O15" i="7" s="1"/>
  <c r="M16" i="7"/>
  <c r="M15" i="7"/>
  <c r="M14" i="7"/>
  <c r="M13" i="7"/>
  <c r="M12" i="7"/>
  <c r="O12" i="7" s="1"/>
  <c r="M11" i="7"/>
  <c r="M10" i="7"/>
  <c r="O9" i="7"/>
  <c r="M9" i="7"/>
  <c r="M8" i="7"/>
  <c r="M7" i="7"/>
  <c r="A7" i="7"/>
  <c r="A8" i="7" s="1"/>
  <c r="A9" i="7" s="1"/>
  <c r="A10" i="7" s="1"/>
  <c r="A11" i="7" s="1"/>
  <c r="A12" i="7" s="1"/>
  <c r="A13" i="7" s="1"/>
  <c r="A14" i="7" s="1"/>
  <c r="A15" i="7" s="1"/>
  <c r="A16" i="7" s="1"/>
  <c r="A17" i="7" s="1"/>
  <c r="A18" i="7" s="1"/>
  <c r="O6" i="7"/>
  <c r="M6" i="7"/>
  <c r="M5" i="7"/>
  <c r="A5" i="7"/>
  <c r="M4" i="7"/>
  <c r="A4" i="7"/>
  <c r="M3" i="7"/>
  <c r="O3" i="7" s="1"/>
  <c r="F38" i="6"/>
  <c r="D38" i="6"/>
  <c r="H36" i="6"/>
  <c r="G33" i="6"/>
  <c r="G32" i="6"/>
  <c r="G31" i="6"/>
  <c r="H33" i="6" s="1"/>
  <c r="G30" i="6"/>
  <c r="G29" i="6"/>
  <c r="H30" i="6" s="1"/>
  <c r="G28" i="6"/>
  <c r="G27" i="6"/>
  <c r="G26" i="6"/>
  <c r="G25" i="6"/>
  <c r="H27" i="6" s="1"/>
  <c r="G24" i="6"/>
  <c r="G23" i="6"/>
  <c r="H24" i="6" s="1"/>
  <c r="G22" i="6"/>
  <c r="G21" i="6"/>
  <c r="G20" i="6"/>
  <c r="G19" i="6"/>
  <c r="H21" i="6" s="1"/>
  <c r="A5" i="6"/>
  <c r="A6" i="6" s="1"/>
  <c r="A7" i="6" s="1"/>
  <c r="A8" i="6" s="1"/>
  <c r="A9" i="6" s="1"/>
  <c r="A10" i="6" s="1"/>
  <c r="A11" i="6" s="1"/>
  <c r="A12" i="6" s="1"/>
  <c r="A13" i="6" s="1"/>
  <c r="A14" i="6" s="1"/>
  <c r="A15" i="6" s="1"/>
  <c r="A16" i="6" s="1"/>
  <c r="A4" i="6"/>
  <c r="H45" i="5"/>
  <c r="F45" i="5"/>
  <c r="H44" i="5"/>
  <c r="F44" i="5"/>
  <c r="H43" i="5"/>
  <c r="F43" i="5"/>
  <c r="H42" i="5"/>
  <c r="F42" i="5"/>
  <c r="H41" i="5"/>
  <c r="F41" i="5"/>
  <c r="H40" i="5"/>
  <c r="F40" i="5"/>
  <c r="H39" i="5"/>
  <c r="F39" i="5"/>
  <c r="H38" i="5"/>
  <c r="F38" i="5"/>
  <c r="H37" i="5"/>
  <c r="F37" i="5"/>
  <c r="H36" i="5"/>
  <c r="F36" i="5"/>
  <c r="H35" i="5"/>
  <c r="F35" i="5"/>
  <c r="H34" i="5"/>
  <c r="F34" i="5"/>
  <c r="H33" i="5"/>
  <c r="I31" i="5" s="1"/>
  <c r="F33" i="5"/>
  <c r="H32" i="5"/>
  <c r="F32" i="5"/>
  <c r="H31" i="5"/>
  <c r="F31" i="5"/>
  <c r="H30" i="5"/>
  <c r="F30" i="5"/>
  <c r="H29" i="5"/>
  <c r="F29" i="5"/>
  <c r="H28" i="5"/>
  <c r="F28" i="5"/>
  <c r="H21" i="5"/>
  <c r="F21" i="5"/>
  <c r="H20" i="5"/>
  <c r="F20" i="5"/>
  <c r="H19" i="5"/>
  <c r="F19" i="5"/>
  <c r="H16" i="5"/>
  <c r="F16" i="5"/>
  <c r="K16" i="5" s="1"/>
  <c r="H15" i="5"/>
  <c r="F15" i="5"/>
  <c r="K15" i="5" s="1"/>
  <c r="H14" i="5"/>
  <c r="K14" i="5" s="1"/>
  <c r="K17" i="5" s="1"/>
  <c r="F14" i="5"/>
  <c r="F49" i="5" s="1"/>
  <c r="N9" i="5"/>
  <c r="N13" i="5" s="1"/>
  <c r="Q13" i="5" s="1"/>
  <c r="Q17" i="5" s="1"/>
  <c r="N7" i="5"/>
  <c r="Q2" i="5"/>
  <c r="Q6" i="5" s="1"/>
  <c r="Q7" i="5" s="1"/>
  <c r="F2" i="5"/>
  <c r="D53" i="4"/>
  <c r="D52" i="4"/>
  <c r="D51" i="4"/>
  <c r="L41" i="4"/>
  <c r="D38" i="4"/>
  <c r="F38" i="4" s="1"/>
  <c r="K11" i="4" s="1"/>
  <c r="K12" i="4" s="1"/>
  <c r="N10" i="4" s="1"/>
  <c r="N14" i="4" s="1"/>
  <c r="I36" i="4"/>
  <c r="I33" i="4"/>
  <c r="H33" i="4"/>
  <c r="H32" i="4"/>
  <c r="I32" i="4" s="1"/>
  <c r="I31" i="4"/>
  <c r="H31" i="4"/>
  <c r="G31" i="4"/>
  <c r="F31" i="4"/>
  <c r="I30" i="4"/>
  <c r="H30" i="4"/>
  <c r="H29" i="4"/>
  <c r="I29" i="4" s="1"/>
  <c r="I28" i="4"/>
  <c r="H28" i="4"/>
  <c r="G28" i="4"/>
  <c r="F28" i="4"/>
  <c r="I27" i="4"/>
  <c r="H27" i="4"/>
  <c r="H26" i="4"/>
  <c r="I26" i="4" s="1"/>
  <c r="I25" i="4"/>
  <c r="H25" i="4"/>
  <c r="G25" i="4"/>
  <c r="F25" i="4"/>
  <c r="I24" i="4"/>
  <c r="H24" i="4"/>
  <c r="H23" i="4"/>
  <c r="I23" i="4" s="1"/>
  <c r="I22" i="4"/>
  <c r="H22" i="4"/>
  <c r="G22" i="4"/>
  <c r="F22" i="4"/>
  <c r="I21" i="4"/>
  <c r="H21" i="4"/>
  <c r="H20" i="4"/>
  <c r="I20" i="4" s="1"/>
  <c r="J19" i="4"/>
  <c r="H19" i="4"/>
  <c r="I19" i="4" s="1"/>
  <c r="G19" i="4"/>
  <c r="F19" i="4"/>
  <c r="K7" i="4"/>
  <c r="K9" i="4" s="1"/>
  <c r="A6" i="4"/>
  <c r="A7" i="4" s="1"/>
  <c r="A8" i="4" s="1"/>
  <c r="A9" i="4" s="1"/>
  <c r="A10" i="4" s="1"/>
  <c r="A11" i="4" s="1"/>
  <c r="A12" i="4" s="1"/>
  <c r="A13" i="4" s="1"/>
  <c r="A14" i="4" s="1"/>
  <c r="A15" i="4" s="1"/>
  <c r="A16" i="4" s="1"/>
  <c r="A5" i="4"/>
  <c r="A4" i="4"/>
  <c r="I47" i="3"/>
  <c r="I46" i="3"/>
  <c r="G44" i="3"/>
  <c r="K39" i="3"/>
  <c r="L39" i="3" s="1"/>
  <c r="E37" i="3"/>
  <c r="K36" i="3"/>
  <c r="K35" i="3"/>
  <c r="H35" i="3"/>
  <c r="F35" i="3"/>
  <c r="F33" i="3"/>
  <c r="F37" i="3" s="1"/>
  <c r="H31" i="3"/>
  <c r="F31" i="3"/>
  <c r="F29" i="3"/>
  <c r="H29" i="3" s="1"/>
  <c r="H27" i="3"/>
  <c r="F27" i="3"/>
  <c r="M22" i="3"/>
  <c r="M21" i="3"/>
  <c r="M20" i="3"/>
  <c r="M19" i="3"/>
  <c r="M18" i="3"/>
  <c r="M17" i="3"/>
  <c r="M16" i="3"/>
  <c r="M15" i="3"/>
  <c r="M14" i="3"/>
  <c r="M13" i="3"/>
  <c r="M12" i="3"/>
  <c r="M11" i="3"/>
  <c r="M10" i="3"/>
  <c r="M9" i="3"/>
  <c r="M8" i="3"/>
  <c r="A8" i="3"/>
  <c r="A9" i="3" s="1"/>
  <c r="A10" i="3" s="1"/>
  <c r="A11" i="3" s="1"/>
  <c r="A12" i="3" s="1"/>
  <c r="A13" i="3" s="1"/>
  <c r="A14" i="3" s="1"/>
  <c r="A15" i="3" s="1"/>
  <c r="A16" i="3" s="1"/>
  <c r="A17" i="3" s="1"/>
  <c r="A18" i="3" s="1"/>
  <c r="A19" i="3" s="1"/>
  <c r="A20" i="3" s="1"/>
  <c r="A21" i="3" s="1"/>
  <c r="A22" i="3" s="1"/>
  <c r="M7" i="3"/>
  <c r="A7" i="3"/>
  <c r="M6" i="3"/>
  <c r="M5" i="3"/>
  <c r="A5" i="3"/>
  <c r="M4" i="3"/>
  <c r="A4" i="3"/>
  <c r="M3" i="3"/>
  <c r="I46" i="2"/>
  <c r="G44" i="2"/>
  <c r="I42" i="2"/>
  <c r="K39" i="2"/>
  <c r="L39" i="2" s="1"/>
  <c r="K36" i="2"/>
  <c r="K35" i="2"/>
  <c r="E31" i="2"/>
  <c r="I29" i="2"/>
  <c r="F29" i="2"/>
  <c r="F31" i="2" s="1"/>
  <c r="A7" i="2"/>
  <c r="A8" i="2" s="1"/>
  <c r="A9" i="2" s="1"/>
  <c r="A10" i="2" s="1"/>
  <c r="A11" i="2" s="1"/>
  <c r="A12" i="2" s="1"/>
  <c r="A13" i="2" s="1"/>
  <c r="A14" i="2" s="1"/>
  <c r="A15" i="2" s="1"/>
  <c r="A16" i="2" s="1"/>
  <c r="A17" i="2" s="1"/>
  <c r="A18" i="2" s="1"/>
  <c r="A19" i="2" s="1"/>
  <c r="A20" i="2" s="1"/>
  <c r="A21" i="2" s="1"/>
  <c r="A22" i="2" s="1"/>
  <c r="A5" i="2"/>
  <c r="A4" i="2"/>
  <c r="G44" i="1"/>
  <c r="I46" i="1" s="1"/>
  <c r="I42" i="1"/>
  <c r="M40" i="1"/>
  <c r="N40" i="1" s="1"/>
  <c r="K39" i="1"/>
  <c r="L39" i="1" s="1"/>
  <c r="K36" i="1"/>
  <c r="K35" i="1"/>
  <c r="F33" i="1"/>
  <c r="E33" i="1"/>
  <c r="E31" i="1"/>
  <c r="I29" i="1"/>
  <c r="H29" i="1"/>
  <c r="F29" i="1"/>
  <c r="F31" i="1" s="1"/>
  <c r="A8" i="1"/>
  <c r="A9" i="1" s="1"/>
  <c r="A10" i="1" s="1"/>
  <c r="A11" i="1" s="1"/>
  <c r="A12" i="1" s="1"/>
  <c r="A13" i="1" s="1"/>
  <c r="A14" i="1" s="1"/>
  <c r="A15" i="1" s="1"/>
  <c r="A16" i="1" s="1"/>
  <c r="A17" i="1" s="1"/>
  <c r="A18" i="1" s="1"/>
  <c r="A19" i="1" s="1"/>
  <c r="A20" i="1" s="1"/>
  <c r="A21" i="1" s="1"/>
  <c r="A22" i="1" s="1"/>
  <c r="A7" i="1"/>
  <c r="A4" i="1"/>
  <c r="A5" i="1" s="1"/>
  <c r="I22" i="6" l="1"/>
  <c r="J22" i="6" s="1"/>
  <c r="I24" i="6"/>
  <c r="J24" i="6" s="1"/>
  <c r="I23" i="6"/>
  <c r="J23" i="6" s="1"/>
  <c r="I31" i="6"/>
  <c r="J31" i="6" s="1"/>
  <c r="I33" i="6"/>
  <c r="J33" i="6" s="1"/>
  <c r="I32" i="6"/>
  <c r="J32" i="6" s="1"/>
  <c r="I26" i="6"/>
  <c r="J26" i="6" s="1"/>
  <c r="I27" i="6"/>
  <c r="J27" i="6" s="1"/>
  <c r="I25" i="6"/>
  <c r="J25" i="6" s="1"/>
  <c r="I21" i="6"/>
  <c r="J21" i="6" s="1"/>
  <c r="I19" i="6"/>
  <c r="J19" i="6" s="1"/>
  <c r="I20" i="6"/>
  <c r="J20" i="6" s="1"/>
  <c r="I29" i="6"/>
  <c r="J29" i="6" s="1"/>
  <c r="I28" i="6"/>
  <c r="J28" i="6" s="1"/>
  <c r="I30" i="6"/>
  <c r="J30" i="6" s="1"/>
  <c r="H29" i="2"/>
  <c r="H33" i="3"/>
  <c r="I28" i="5"/>
  <c r="C35" i="29"/>
  <c r="C36" i="29" s="1"/>
  <c r="C43" i="29"/>
  <c r="D47" i="29"/>
  <c r="K17" i="31"/>
  <c r="K19" i="31" s="1"/>
  <c r="K20" i="31" s="1"/>
  <c r="K22" i="31" s="1"/>
  <c r="J15" i="5"/>
  <c r="C37" i="28"/>
  <c r="C38" i="28" s="1"/>
  <c r="L33" i="29"/>
  <c r="C49" i="29" s="1"/>
  <c r="O21" i="7"/>
  <c r="P11" i="8"/>
  <c r="L54" i="11"/>
  <c r="L52" i="11"/>
  <c r="K17" i="19"/>
  <c r="P16" i="21"/>
  <c r="P18" i="21" s="1"/>
  <c r="P19" i="21" s="1"/>
  <c r="P21" i="21" s="1"/>
  <c r="F42" i="12"/>
  <c r="N9" i="19"/>
  <c r="N13" i="19" s="1"/>
  <c r="Q13" i="19" s="1"/>
  <c r="Q17" i="19" s="1"/>
  <c r="Q2" i="19"/>
  <c r="Q6" i="19" s="1"/>
  <c r="Q7" i="19" s="1"/>
  <c r="N2" i="4"/>
  <c r="N6" i="4" s="1"/>
  <c r="N7" i="4" s="1"/>
  <c r="I14" i="5"/>
  <c r="I19" i="5"/>
  <c r="F47" i="5"/>
  <c r="F37" i="28"/>
  <c r="F38" i="28" s="1"/>
  <c r="C33" i="29"/>
  <c r="C46" i="29" s="1"/>
  <c r="J14" i="5"/>
  <c r="J16" i="5"/>
  <c r="H29" i="7"/>
  <c r="F43" i="7"/>
  <c r="C42" i="29"/>
  <c r="D46" i="29" s="1"/>
  <c r="G27" i="13"/>
  <c r="A18" i="13"/>
  <c r="A19" i="13" s="1"/>
  <c r="C47" i="29"/>
  <c r="J16" i="19"/>
  <c r="F46" i="19"/>
  <c r="U11" i="50"/>
  <c r="J48" i="11"/>
  <c r="J14" i="19"/>
  <c r="I31" i="29"/>
  <c r="L31" i="29"/>
  <c r="L35" i="29" s="1"/>
  <c r="L36" i="29" s="1"/>
  <c r="I28" i="19"/>
  <c r="C34" i="29" l="1"/>
  <c r="I35" i="29"/>
  <c r="I36" i="29" s="1"/>
  <c r="J17" i="19"/>
  <c r="J17" i="5"/>
  <c r="F35" i="29"/>
  <c r="F36" i="29" s="1"/>
  <c r="B35" i="29"/>
  <c r="J33" i="19" l="1"/>
  <c r="K33" i="19" s="1"/>
  <c r="J29" i="19"/>
  <c r="J34" i="19"/>
  <c r="J30" i="19"/>
  <c r="J21" i="19"/>
  <c r="J20" i="19"/>
  <c r="J19" i="19"/>
  <c r="J22" i="19" s="1"/>
  <c r="J31" i="19"/>
  <c r="J32" i="19"/>
  <c r="K32" i="19" s="1"/>
  <c r="J35" i="19"/>
  <c r="J36" i="19"/>
  <c r="J28" i="19"/>
  <c r="J25" i="19"/>
  <c r="J27" i="19"/>
  <c r="J38" i="5"/>
  <c r="J34" i="5"/>
  <c r="J21" i="5"/>
  <c r="J32" i="5"/>
  <c r="J29" i="5"/>
  <c r="J31" i="5"/>
  <c r="J19" i="5"/>
  <c r="J35" i="5"/>
  <c r="J39" i="5"/>
  <c r="J20" i="5"/>
  <c r="J33" i="5"/>
  <c r="J28" i="5"/>
  <c r="J30" i="5"/>
  <c r="J37" i="5"/>
  <c r="J36" i="5"/>
  <c r="L33" i="19" l="1"/>
  <c r="M33" i="19"/>
  <c r="K31" i="19"/>
  <c r="K39" i="5"/>
  <c r="K27" i="19"/>
  <c r="K38" i="5"/>
  <c r="K36" i="5"/>
  <c r="J22" i="5"/>
  <c r="K34" i="5" s="1"/>
  <c r="M25" i="19"/>
  <c r="K25" i="19"/>
  <c r="L25" i="19" s="1"/>
  <c r="M32" i="19"/>
  <c r="L32" i="19"/>
  <c r="K31" i="5"/>
  <c r="K30" i="19"/>
  <c r="K30" i="5"/>
  <c r="K29" i="5"/>
  <c r="K36" i="19"/>
  <c r="K34" i="19"/>
  <c r="K37" i="5"/>
  <c r="K28" i="19"/>
  <c r="M28" i="5"/>
  <c r="K28" i="5"/>
  <c r="L28" i="5" s="1"/>
  <c r="K32" i="5"/>
  <c r="K35" i="19"/>
  <c r="K29" i="19"/>
  <c r="K33" i="5"/>
  <c r="M34" i="5" l="1"/>
  <c r="L34" i="5"/>
  <c r="M30" i="19"/>
  <c r="L30" i="19"/>
  <c r="M38" i="5"/>
  <c r="L38" i="5"/>
  <c r="M32" i="5"/>
  <c r="L32" i="5"/>
  <c r="L31" i="5"/>
  <c r="M31" i="5"/>
  <c r="M27" i="19"/>
  <c r="L27" i="19"/>
  <c r="M28" i="19"/>
  <c r="L28" i="19"/>
  <c r="K35" i="5"/>
  <c r="M37" i="5"/>
  <c r="L37" i="5"/>
  <c r="L39" i="5"/>
  <c r="M39" i="5"/>
  <c r="M36" i="5"/>
  <c r="L36" i="5"/>
  <c r="L29" i="19"/>
  <c r="M29" i="19"/>
  <c r="M36" i="19"/>
  <c r="L36" i="19"/>
  <c r="M33" i="5"/>
  <c r="L33" i="5"/>
  <c r="M34" i="19"/>
  <c r="L34" i="19"/>
  <c r="M31" i="19"/>
  <c r="L31" i="19"/>
  <c r="M35" i="19"/>
  <c r="L35" i="19"/>
  <c r="M29" i="5"/>
  <c r="L29" i="5"/>
  <c r="K25" i="5"/>
  <c r="K27" i="5"/>
  <c r="K26" i="5"/>
  <c r="L30" i="5"/>
  <c r="M30" i="5"/>
  <c r="L35" i="5" l="1"/>
  <c r="M35" i="5"/>
  <c r="M26" i="5"/>
  <c r="L26" i="5"/>
  <c r="M27" i="5"/>
  <c r="L27" i="5"/>
  <c r="M25" i="5"/>
  <c r="L25" i="5"/>
</calcChain>
</file>

<file path=xl/sharedStrings.xml><?xml version="1.0" encoding="utf-8"?>
<sst xmlns="http://schemas.openxmlformats.org/spreadsheetml/2006/main" count="7113" uniqueCount="1468">
  <si>
    <t>Sample</t>
  </si>
  <si>
    <t>Tube</t>
  </si>
  <si>
    <t>Storage Temperature</t>
  </si>
  <si>
    <t>Flushing Location</t>
  </si>
  <si>
    <t>Time Sampled</t>
  </si>
  <si>
    <t>Elapsed Time</t>
  </si>
  <si>
    <t>H2</t>
  </si>
  <si>
    <t>O2</t>
  </si>
  <si>
    <t>N2</t>
  </si>
  <si>
    <t>CO</t>
  </si>
  <si>
    <t>CO2</t>
  </si>
  <si>
    <t>Scaled CO</t>
  </si>
  <si>
    <t>time</t>
  </si>
  <si>
    <t>AVG</t>
  </si>
  <si>
    <t>observations</t>
  </si>
  <si>
    <t>scaling factor</t>
  </si>
  <si>
    <t>Syinge Used</t>
  </si>
  <si>
    <t>A</t>
  </si>
  <si>
    <t>B</t>
  </si>
  <si>
    <t>C</t>
  </si>
  <si>
    <t>D</t>
  </si>
  <si>
    <t>E</t>
  </si>
  <si>
    <t>F</t>
  </si>
  <si>
    <t>G</t>
  </si>
  <si>
    <t>H</t>
  </si>
  <si>
    <t>I</t>
  </si>
  <si>
    <t>J</t>
  </si>
  <si>
    <t>K</t>
  </si>
  <si>
    <t>L</t>
  </si>
  <si>
    <t>M</t>
  </si>
  <si>
    <t>N</t>
  </si>
  <si>
    <t>O</t>
  </si>
  <si>
    <t>P</t>
  </si>
  <si>
    <t>Hood 1</t>
  </si>
  <si>
    <t>Q</t>
  </si>
  <si>
    <t>Hood 2</t>
  </si>
  <si>
    <t>R</t>
  </si>
  <si>
    <t>Hood 3</t>
  </si>
  <si>
    <t>S</t>
  </si>
  <si>
    <t>Hood 4</t>
  </si>
  <si>
    <t>T</t>
  </si>
  <si>
    <t>Hood 5</t>
  </si>
  <si>
    <t>U</t>
  </si>
  <si>
    <t>Hood 6</t>
  </si>
  <si>
    <t>cell fraction</t>
  </si>
  <si>
    <t>Formulations</t>
  </si>
  <si>
    <t>Cells</t>
  </si>
  <si>
    <t>media</t>
  </si>
  <si>
    <t>Total volume needed</t>
  </si>
  <si>
    <t>#1</t>
  </si>
  <si>
    <t>OTA1</t>
  </si>
  <si>
    <t>2.5% Cysteine in 0.2N NaOH 0.01 g/L tre</t>
  </si>
  <si>
    <t>volume (uL)</t>
  </si>
  <si>
    <t>total volume</t>
  </si>
  <si>
    <t>2*675</t>
  </si>
  <si>
    <t>5*630</t>
  </si>
  <si>
    <t>g/mL</t>
  </si>
  <si>
    <t>g/L</t>
  </si>
  <si>
    <t>Drying Notes 3/18</t>
  </si>
  <si>
    <t>5 bottles used of mRCMF 3mL 0.1N CYS PCG 3/24/16 OTA1 3'A-E PCG 4/14/16</t>
  </si>
  <si>
    <t>First spin in Beckman at 11:30AM</t>
  </si>
  <si>
    <t>For Rehydration</t>
  </si>
  <si>
    <t xml:space="preserve">Need </t>
  </si>
  <si>
    <t>mL</t>
  </si>
  <si>
    <t>Reduce 3 50 mL bottles with 2mL 0.2 N NaOH 2.5% Cys</t>
  </si>
  <si>
    <t>Rinsed with 20 mL from 25 mL bottle of 1YCM PCG 3/16/16 with 1 mL Cys and 0.2 M NaOH 4/14/16</t>
  </si>
  <si>
    <t>Need 2; one back up</t>
  </si>
  <si>
    <t>Tube centrifuged in rotana for 15min at 4C and 6000rcf at 12:03 PM.</t>
  </si>
  <si>
    <t>Coatings made as listed above</t>
  </si>
  <si>
    <t>All tubes flushed with argon at 20 psi for 25 minutes.</t>
  </si>
  <si>
    <t>g</t>
  </si>
  <si>
    <t xml:space="preserve">Need 2 of these! </t>
  </si>
  <si>
    <t xml:space="preserve">All tubes placed in freezer at 1:53 PM </t>
  </si>
  <si>
    <t>Rehydration notes</t>
  </si>
  <si>
    <t>Tubes A, B, C were rehydrated on 4/18/2016 and placed in shaker at 5:00 PM</t>
  </si>
  <si>
    <t>While moving tubes A, B, C into anaerobic chamber, cap on tube A popped off during first vacuum; forgot that should take metal caps on inside chamber</t>
  </si>
  <si>
    <t>Sampling notes</t>
  </si>
  <si>
    <t>anaerobic tape from COY placed over half of tubes remaining after A-C at 4pm 4/18/16.</t>
  </si>
  <si>
    <t>3 hrs</t>
  </si>
  <si>
    <t>8 hrs 40 min</t>
  </si>
  <si>
    <t>840pm</t>
  </si>
  <si>
    <t>15 hrs 30 min</t>
  </si>
  <si>
    <t>320am</t>
  </si>
  <si>
    <t>18 hrs</t>
  </si>
  <si>
    <t>555am</t>
  </si>
  <si>
    <t>20 hrs</t>
  </si>
  <si>
    <t>805am</t>
  </si>
  <si>
    <t>22 hrs</t>
  </si>
  <si>
    <t>950am</t>
  </si>
  <si>
    <t>1245pm</t>
  </si>
  <si>
    <t>5 bottles used of mRCMF 3mL 0.1N CYS PCG 3/23/16 OTA1 3'A-E PCG 4/7/16</t>
  </si>
  <si>
    <t>First spin in Beckman at 11:15AM.</t>
  </si>
  <si>
    <t>Rinsed with 20 mL from 25 mL bottle of 1YCM PCG  with 1 mL Cys and 0.2 M NaOH.</t>
  </si>
  <si>
    <t>Tube centrifuged in rotana for 15min at 4C and 6000rcf at 11:46 AM.</t>
  </si>
  <si>
    <t xml:space="preserve">All tubes placed in freezer at 1:50 PM </t>
  </si>
  <si>
    <t>Don't need to take out any media volume since accounted for reducing agent this time</t>
  </si>
  <si>
    <t>Placed in shaker at 11:55 AM</t>
  </si>
  <si>
    <t>Formulation</t>
  </si>
  <si>
    <t>2.5% Cysteine in 0.2N NaOH</t>
  </si>
  <si>
    <t>#2</t>
  </si>
  <si>
    <t>.01g tre</t>
  </si>
  <si>
    <t>#3</t>
  </si>
  <si>
    <t>.05g tre</t>
  </si>
  <si>
    <t>#4</t>
  </si>
  <si>
    <t>.01g fruc</t>
  </si>
  <si>
    <t>#5</t>
  </si>
  <si>
    <t>.05g fruc</t>
  </si>
  <si>
    <t xml:space="preserve">5 bottles used of mRCMF 1mL 0.1N CYS PCG 3/23/16 OTA1 3'A-E </t>
  </si>
  <si>
    <t>First spin in Beckman at 11:20 AM.</t>
  </si>
  <si>
    <t>Tube centrifuged in rotana for 15min at 4C and 6000rcf at 11:57 AM.</t>
  </si>
  <si>
    <t>Tre</t>
  </si>
  <si>
    <t xml:space="preserve">All tubes placed in freezer at 2:06 PM </t>
  </si>
  <si>
    <t>Fruc</t>
  </si>
  <si>
    <t xml:space="preserve"> **** Remember to take 1 mL out of each media since now has 26 mL volume!! </t>
  </si>
  <si>
    <t>rehydrated with respective media formulations</t>
  </si>
  <si>
    <t>placed in shaker at 4:46 pm</t>
  </si>
  <si>
    <t>A-L removed and sampled at 730am on 4/5/16</t>
  </si>
  <si>
    <t>remainder sampled at 815am and all placed in fridge to stop reactivity in case we need to resample</t>
  </si>
  <si>
    <t>Take Pictures</t>
  </si>
  <si>
    <t>OD(600)</t>
  </si>
  <si>
    <t>cells in 1200 uL microcentrifuge</t>
  </si>
  <si>
    <t>Glass Transition Temperatures</t>
  </si>
  <si>
    <t>weight</t>
  </si>
  <si>
    <t>Cut chromatography paper with as much uniformity as possible.</t>
  </si>
  <si>
    <t>Mark with lines to be able to distinguish between them later.</t>
  </si>
  <si>
    <t xml:space="preserve">bottles </t>
  </si>
  <si>
    <t>Weigh each paper recording each initial weight.</t>
  </si>
  <si>
    <t>cell in 120 uL on each coating</t>
  </si>
  <si>
    <t>Take OD of one bottle</t>
  </si>
  <si>
    <t>volume/bottle</t>
  </si>
  <si>
    <t>ml</t>
  </si>
  <si>
    <t>Combine cells in oakridge bottle and centrifuge in beckman for 15 minutes.</t>
  </si>
  <si>
    <t>cell weight</t>
  </si>
  <si>
    <t>mg</t>
  </si>
  <si>
    <t>initial</t>
  </si>
  <si>
    <t>g/g</t>
  </si>
  <si>
    <t xml:space="preserve">Wash with 20 mL of media and transfer to oakridge tube. </t>
  </si>
  <si>
    <t>volume of pellet</t>
  </si>
  <si>
    <t>Centrifuge in Rotana 15 minutes.</t>
  </si>
  <si>
    <t>cell concentration</t>
  </si>
  <si>
    <t>mg/mL</t>
  </si>
  <si>
    <t>cells in 120 uL</t>
  </si>
  <si>
    <t>Mix formulation.</t>
  </si>
  <si>
    <t>Make coatings -- 200 uL each.</t>
  </si>
  <si>
    <t>dilution</t>
  </si>
  <si>
    <t>Cap and crimp.</t>
  </si>
  <si>
    <t>coating concentration</t>
  </si>
  <si>
    <t>Flush with argon at 20 psi for 5 minutes, 15 minutes, 25 minutes, 35 minutes, and 45 minutes.</t>
  </si>
  <si>
    <t>while flushing, with extra formulation and di water, measure weight delivered using balance</t>
  </si>
  <si>
    <t>cell in microcentrifuge</t>
  </si>
  <si>
    <t>uL</t>
  </si>
  <si>
    <t xml:space="preserve">After flush, weigh each paper noting which strip it was originally. </t>
  </si>
  <si>
    <t>place strips into anaerobic box with drierite for weekend</t>
  </si>
  <si>
    <t>Flush time</t>
  </si>
  <si>
    <t>Intial Weight (g)</t>
  </si>
  <si>
    <t>Final Weight (g)</t>
  </si>
  <si>
    <t>Flushing Station</t>
  </si>
  <si>
    <t>average after drying</t>
  </si>
  <si>
    <t>SD</t>
  </si>
  <si>
    <t>Paper weight-atmosphere water (just paper)</t>
  </si>
  <si>
    <t>dry cell weight = final weight - (paperweight-atmwater)</t>
  </si>
  <si>
    <t>calculated from density; wet cell + media</t>
  </si>
  <si>
    <t>for negative numbers, causes could be</t>
  </si>
  <si>
    <t>Too low water loss of what is in paper</t>
  </si>
  <si>
    <t>2.5% Cysteine -- 0.2 N NaOH</t>
  </si>
  <si>
    <t>Experimental notes</t>
  </si>
  <si>
    <t>200 uL of DI Water Weight</t>
  </si>
  <si>
    <t>At 10:30 OD600 of 2'A is 1.4</t>
  </si>
  <si>
    <t>200 uL of Formulation Weight</t>
  </si>
  <si>
    <t xml:space="preserve">Density </t>
  </si>
  <si>
    <t>Pellet volume 1700 uL</t>
  </si>
  <si>
    <t>A = after drying weight - (paper weight-atmosphere water)= dry cell weight + water residue</t>
  </si>
  <si>
    <t>Goal:</t>
  </si>
  <si>
    <t>gwater/gdrycell</t>
  </si>
  <si>
    <t>B= cell coating after dry - (sample 1 paper weight - atmosphere water ratio*sample 1 paper weight) = dry cell weight of 120uL cell</t>
  </si>
  <si>
    <t>Initial Weight = Paper + Atmosphere Water</t>
  </si>
  <si>
    <t>C = A-B = water residue</t>
  </si>
  <si>
    <t>Final Weight = Paper + Dry Cells + Media - Atmosphere Water</t>
  </si>
  <si>
    <t>D (g water/g cell) = C/D or C/calculated dry cell weight using OD</t>
  </si>
  <si>
    <t>using drierite</t>
  </si>
  <si>
    <t>initial just paper</t>
  </si>
  <si>
    <t>final just paper</t>
  </si>
  <si>
    <t>Weight of atmospheric water (g)</t>
  </si>
  <si>
    <t>atmosphere water average</t>
  </si>
  <si>
    <t>in the oven</t>
  </si>
  <si>
    <t xml:space="preserve">final just paper </t>
  </si>
  <si>
    <t>Conditions</t>
  </si>
  <si>
    <t>replicates</t>
  </si>
  <si>
    <t>coating volume</t>
  </si>
  <si>
    <t>pellet volume needed (uL)</t>
  </si>
  <si>
    <t>(1 and 1.3)</t>
  </si>
  <si>
    <t>Cells in 1200ul microcenterfuge</t>
  </si>
  <si>
    <t>mg/L/OD600</t>
  </si>
  <si>
    <t>*for each vacuum dry sample</t>
  </si>
  <si>
    <t>bottles</t>
  </si>
  <si>
    <t>Cell in 120ul on each coating</t>
  </si>
  <si>
    <t>*for oven dry cell coating (sample 1)</t>
  </si>
  <si>
    <t xml:space="preserve">B = cell coating after oven dry - (sample 1 paper weight- atmosphere water ratio*sample 1 paper weigh) = dry cell weight of 120ul cell </t>
  </si>
  <si>
    <t xml:space="preserve">Initial </t>
  </si>
  <si>
    <t>*for oven dry paper(sample 2) to calculate atmosphere water ratio which is initial atmosphere water per g paper</t>
  </si>
  <si>
    <t>atmosphere water ratio = (sample 2 paper weight-sample 2 oven dry)/sample 2 paper weight</t>
  </si>
  <si>
    <t>D (g water/g cell) = C / B or C/ calculated dry cell weight using OD</t>
  </si>
  <si>
    <t>paste dilution</t>
  </si>
  <si>
    <t>cells in 120uL</t>
  </si>
  <si>
    <t>filter paper</t>
  </si>
  <si>
    <t>Cell Coating</t>
  </si>
  <si>
    <t>weight of paper</t>
  </si>
  <si>
    <t>weight of each paper</t>
  </si>
  <si>
    <t>after drying weight</t>
  </si>
  <si>
    <t>after drying each</t>
  </si>
  <si>
    <t>atmosphere water ratio</t>
  </si>
  <si>
    <t>atmosphere water(g)</t>
  </si>
  <si>
    <t>oven</t>
  </si>
  <si>
    <t>oven paper</t>
  </si>
  <si>
    <t>water in microcenterfuge</t>
  </si>
  <si>
    <t>ul</t>
  </si>
  <si>
    <t>average</t>
  </si>
  <si>
    <t>cell in microcenterfuge</t>
  </si>
  <si>
    <t>B(g)</t>
  </si>
  <si>
    <t>oven coating</t>
  </si>
  <si>
    <t>OD</t>
  </si>
  <si>
    <t>A(g) after drying</t>
  </si>
  <si>
    <t>C(g) water residue</t>
  </si>
  <si>
    <t>Experimental D(gwater/gcell)</t>
  </si>
  <si>
    <t>Calculate D(g/g)</t>
  </si>
  <si>
    <t xml:space="preserve">0.8ml </t>
  </si>
  <si>
    <t>mRcmf</t>
  </si>
  <si>
    <t>120ul cell solution (0.5)</t>
  </si>
  <si>
    <t>vacuum drying time (min)</t>
  </si>
  <si>
    <t>0.2ml</t>
  </si>
  <si>
    <t>cell</t>
  </si>
  <si>
    <t>read number *5</t>
  </si>
  <si>
    <t xml:space="preserve">1. Measure OD </t>
  </si>
  <si>
    <t>2. Bring in anarobic chamber, transfer in oak ridge bottles</t>
  </si>
  <si>
    <t>3. Centerfuge 15mins</t>
  </si>
  <si>
    <t>4. Bring back in, rinse with media</t>
  </si>
  <si>
    <t>5. Small centerfuge again</t>
  </si>
  <si>
    <t>6. Bring in, dilute, coat</t>
  </si>
  <si>
    <t>sd</t>
  </si>
  <si>
    <t>y=a*t^b</t>
  </si>
  <si>
    <t>t^b = a/y</t>
  </si>
  <si>
    <t>inculde initial point</t>
  </si>
  <si>
    <t>y= 3.2328*t^-0.307</t>
  </si>
  <si>
    <t>320min</t>
  </si>
  <si>
    <t>0.5g/g</t>
  </si>
  <si>
    <t>8642min</t>
  </si>
  <si>
    <t>0.2g/g</t>
  </si>
  <si>
    <t>not include</t>
  </si>
  <si>
    <t>y=6.7556*t^-0.505</t>
  </si>
  <si>
    <t>144min</t>
  </si>
  <si>
    <t>1064min</t>
  </si>
  <si>
    <t>Atmsophere Water (g)</t>
  </si>
  <si>
    <t>Averages</t>
  </si>
  <si>
    <t>After Drying (g)</t>
  </si>
  <si>
    <t>C(g) Water Residue</t>
  </si>
  <si>
    <t>At 10:30 OD600 of 2'A is 1.9</t>
  </si>
  <si>
    <t xml:space="preserve">Argon tank by door ran out somewhere between 25 and 35 minutes flushes. </t>
  </si>
  <si>
    <t>No NaOH</t>
  </si>
  <si>
    <t>least crinkled of set</t>
  </si>
  <si>
    <t>0.1 NaOH</t>
  </si>
  <si>
    <t>no discernable difference in these three</t>
  </si>
  <si>
    <t>0.2 NaOH</t>
  </si>
  <si>
    <t>least crinkled</t>
  </si>
  <si>
    <t>0.4 NaOH</t>
  </si>
  <si>
    <t>0.02 g Treahlose</t>
  </si>
  <si>
    <t>0.05 g Trehalose</t>
  </si>
  <si>
    <t>middle</t>
  </si>
  <si>
    <t>least</t>
  </si>
  <si>
    <t>most crinkled</t>
  </si>
  <si>
    <t>0.1 g Trehalose</t>
  </si>
  <si>
    <t>2.5% Cysteine -- No NaOH</t>
  </si>
  <si>
    <t>2.5% Cysteine in 0.1N NaOH</t>
  </si>
  <si>
    <t>2.5% Cysteine in 0.4N NaOH</t>
  </si>
  <si>
    <t>0.02g trehalose in 0.2N NaOH</t>
  </si>
  <si>
    <t>#6</t>
  </si>
  <si>
    <t>0.05g trehalose in 0.2N NaOH</t>
  </si>
  <si>
    <t>#7</t>
  </si>
  <si>
    <t>0.1g trehalose in 0.2N NaOH</t>
  </si>
  <si>
    <t>5 bottles used of mRCMF PCG 3/11/16 OTA1 3'A-E PCG 3/17/16</t>
  </si>
  <si>
    <t>First spin in Beckman at 11:22 AM.</t>
  </si>
  <si>
    <t>Tube centrifuged in rotana for 15min at 4C and 6000rcf at 11:54 AM.</t>
  </si>
  <si>
    <t>All tubes placed in refrigerator at 2:42 PM</t>
  </si>
  <si>
    <t>Catalyst refreshed and replaced</t>
  </si>
  <si>
    <t xml:space="preserve">1YCM  PCG 1/25/16 1mL 2.5 % Cys used for formula 1 </t>
  </si>
  <si>
    <t>1 YCM PCG 1/25/216 0.1 N NaOH used for formula 2</t>
  </si>
  <si>
    <t xml:space="preserve">1YCM PCG 3/16/16 0.2N NaOH used for formula 3, 5, 6, 7 </t>
  </si>
  <si>
    <t>1YCM PCG 1/25/16 0.4N NaOH used for formula 4</t>
  </si>
  <si>
    <t>Starting values on chamber 008 PPM Oxygen, 00.6 Hydrogen</t>
  </si>
  <si>
    <t>all tubes placed in shaker at 5:56 PM</t>
  </si>
  <si>
    <t>A-L removed and sampled at 730am on 3/22/16</t>
  </si>
  <si>
    <t xml:space="preserve">Observations for variation with P, Q, R   --- R is more crinkled than either P or Q; Paper in R is not touching the tube, however, it is closer to the wall of the tube than either P or Q; turbitity for all are roughly the same and fairly clear; cell coating on R is the darkest of the three </t>
  </si>
  <si>
    <t>Storage temperature</t>
  </si>
  <si>
    <t>Flushing time</t>
  </si>
  <si>
    <t>Under Hood</t>
  </si>
  <si>
    <t>Under Hood 2nd</t>
  </si>
  <si>
    <t>from left</t>
  </si>
  <si>
    <t>Under Hood 3rd</t>
  </si>
  <si>
    <t>Under Hood 4th</t>
  </si>
  <si>
    <t>Under Hood 5th</t>
  </si>
  <si>
    <t>only half</t>
  </si>
  <si>
    <t>total</t>
  </si>
  <si>
    <t xml:space="preserve">#1 </t>
  </si>
  <si>
    <t>OTA1 2X</t>
  </si>
  <si>
    <t>Turbitidy Ranking -- from most to least</t>
  </si>
  <si>
    <t>Dyring Notes:</t>
  </si>
  <si>
    <t>** VORTEX REALLY WELL</t>
  </si>
  <si>
    <t xml:space="preserve">** TURN DIALS FULL 360 DEGREES WHEN FLUSHING --- CONSISTENT!!! </t>
  </si>
  <si>
    <t>used 5 bottels mRCMf 3'A-E PCG 2/22/16</t>
  </si>
  <si>
    <t>Started at 1130am</t>
  </si>
  <si>
    <t>Rinsed with 20mL of 1YCM PCG 2/9/16 reduced with 1ml of 2.5 cysteine HCl in 0.2N NaOH</t>
  </si>
  <si>
    <t>All into storage at ~3pm</t>
  </si>
  <si>
    <t>Rehydration Notes 3/14</t>
  </si>
  <si>
    <t>Oxygen level in chamber being very diffuclt; not going down after two flushes</t>
  </si>
  <si>
    <t>Rehydrated with PCG 2/9/16 1YCM 1mL Cys 0.2 N NaOH</t>
  </si>
  <si>
    <t>Oxygen level at 0.08 when started rehydrating at 5:20 PM</t>
  </si>
  <si>
    <t>Flushed with syngas 2 min green needles 20 psi</t>
  </si>
  <si>
    <t>Placed in shaker at 5:56 PM</t>
  </si>
  <si>
    <t>Assaying Notes 3/15</t>
  </si>
  <si>
    <t>Run 4C tubes first!!</t>
  </si>
  <si>
    <t>Note the turbidities!</t>
  </si>
  <si>
    <t>Samples A,B,C, Q,R,S,T and D,E,F,G,H sampled at 8:30 AM</t>
  </si>
  <si>
    <t>Samples I-P sampled at 9:55 AM</t>
  </si>
  <si>
    <t>Sample #</t>
  </si>
  <si>
    <t>Storage humidity</t>
  </si>
  <si>
    <t xml:space="preserve"> drierite 0</t>
  </si>
  <si>
    <t xml:space="preserve"> CaCl 33</t>
  </si>
  <si>
    <t xml:space="preserve"> NaCl 78</t>
  </si>
  <si>
    <t>uncontrolled</t>
  </si>
  <si>
    <t>all flushed for 25 min</t>
  </si>
  <si>
    <t>Steps:</t>
  </si>
  <si>
    <t>1. Make coating, cap and crimp</t>
  </si>
  <si>
    <t>2. flush for 25 minutes</t>
  </si>
  <si>
    <t>3. bring back into anaerobic chamber</t>
  </si>
  <si>
    <t>4. remove crimps and caps carefully, bring needle nosed plier in just to be safe in case something goes wrong, don't torque the aluminum too much if it isn't working</t>
  </si>
  <si>
    <t>5. Place in the appropriate bottles that have been capped this entire time.</t>
  </si>
  <si>
    <t>6. put caps back on tightly and take to flushing station again</t>
  </si>
  <si>
    <t>7. flush with BLUE needles at 20psi for 10min making sure needle is pointed away from open tops of balch tubes. Make sure for different septum to go through the thinnest part of the OUTER ring.</t>
  </si>
  <si>
    <t>8. all stored in anaerobic chamber</t>
  </si>
  <si>
    <t>Drying Notes: 3/4</t>
  </si>
  <si>
    <t xml:space="preserve">Cells used are OTA 1 3'A-D PCG 3/3/16 in mRCMf PCG 2/22/16 3 mL Cys 0.1N </t>
  </si>
  <si>
    <t>Bottles 3'C and 3'D were transferred late</t>
  </si>
  <si>
    <t>Rinsed with 20 mL from 50 mL bottle of 1YCM PCG 2/9/16 with 2 mL Cys and 0.2 M NaOH.</t>
  </si>
  <si>
    <t>Tube centrifuged in rotana for 15min at 4C and 6000rcf at 11:48 AM.</t>
  </si>
  <si>
    <t>Coating made all with same formulation using media listed above.</t>
  </si>
  <si>
    <t>Brought back into chamber, decapped, and placed in respective bottles for various humidity conditions</t>
  </si>
  <si>
    <t>Those bottles flushed for 10 minutes under hood with argon at 20 psi with blue needles.</t>
  </si>
  <si>
    <t>All bottle stored in anaerobic chamber</t>
  </si>
  <si>
    <t>Reydration notes: 3/7/16</t>
  </si>
  <si>
    <t>Each tube rehydrated with 4 mL of 1YCM PCG 2/9/16 1 mL 2.5% cys 0.2 N NaOH</t>
  </si>
  <si>
    <t>Flushed with syngas with green needles at 20 psi for 2 minutes</t>
  </si>
  <si>
    <t>All tubes placed in shaker at 1210PM at 50 RPM and 37C</t>
  </si>
  <si>
    <t>Tubes A-L sampled at 1115am and returned to shaker at 1130</t>
  </si>
  <si>
    <t>Tubes M-P sampled at 1150 and returned to shaker at 12</t>
  </si>
  <si>
    <t xml:space="preserve">Drying Condition </t>
  </si>
  <si>
    <t>Temperature Storage</t>
  </si>
  <si>
    <t>(all by door)</t>
  </si>
  <si>
    <t>Convective</t>
  </si>
  <si>
    <t>25: Chamber</t>
  </si>
  <si>
    <t>do these first</t>
  </si>
  <si>
    <t>C -- F</t>
  </si>
  <si>
    <t>20: Under bench</t>
  </si>
  <si>
    <t>4 Beer Cooler</t>
  </si>
  <si>
    <t>I -- F</t>
  </si>
  <si>
    <t>I -- J</t>
  </si>
  <si>
    <t>37 Shaker</t>
  </si>
  <si>
    <t>J -- B</t>
  </si>
  <si>
    <t>Vacuum 25 in HG for 90min</t>
  </si>
  <si>
    <t>25 Chamber</t>
  </si>
  <si>
    <t>while first set is drying</t>
  </si>
  <si>
    <t>2X cells</t>
  </si>
  <si>
    <t>Combined OTA 1 3'A-D PCG 2/25/16 in oakridge bottle</t>
  </si>
  <si>
    <t xml:space="preserve">First spin in Beckman at 11:10 AM for 15 min at 5000 rpm, 4C. </t>
  </si>
  <si>
    <t>Rinsed with 20 mL from 50 mL bottle of 1YCM PCG 1/25/16 with 2 mL Cys and 0.2 M NaOH.</t>
  </si>
  <si>
    <t xml:space="preserve">Pellet was extra "sticky" after first centrifuge. I had to blast it with media several times before it began loosening. </t>
  </si>
  <si>
    <t>Tube centrifuged in rotana for 15min at 4C and 6000rcf at 11:43 AM.</t>
  </si>
  <si>
    <t>Coatings A-L and M-O were made first; while they were flushing P-R were made and hung to dry in the chamber.</t>
  </si>
  <si>
    <t>Tubes A-L flushed at 20 psi with argon for 25 minutes at the door station.</t>
  </si>
  <si>
    <t>Tubes M-O flused at 20 psi with argon for 25 minutes under the hood.</t>
  </si>
  <si>
    <t xml:space="preserve">Tubes P-R flushed at 20 psi with argon for 2 minutes at th door station. </t>
  </si>
  <si>
    <t>All tubes placed in their respective locations by 3:00 PM.</t>
  </si>
  <si>
    <t>Rehydration Notes: 2/29/16</t>
  </si>
  <si>
    <t>Tubes removed from locations at 11:00 AM</t>
  </si>
  <si>
    <t>All tubes placed in shaker at 11:42 AM at 50 RPM and 37C</t>
  </si>
  <si>
    <t>Tube Q had pressure in it; wasn't vented to the atmosphere fully; popped when removed the cap for rehydration</t>
  </si>
  <si>
    <t>Assaying Notes; 3/1/2016</t>
  </si>
  <si>
    <t>Tubes A-L sampled at approximately 9:55 AM and returned to shaker at 10:00 AM.</t>
  </si>
  <si>
    <t>Tubes M-R sampled at approxmimately 10:50 AM and returned to shaker at 10:55 AM.</t>
  </si>
  <si>
    <t>Sample H had strange oxygen peaks; rerun with different syringe at 11:00 AM</t>
  </si>
  <si>
    <t>Sample H had two CO2 peaks come out because of reinjection.</t>
  </si>
  <si>
    <t>Sampled and run again at 11:15 AM.</t>
  </si>
  <si>
    <t>Running C, H, I, and J again since O2 peaks</t>
  </si>
  <si>
    <t>Storage RH</t>
  </si>
  <si>
    <t>trehalose in tube</t>
  </si>
  <si>
    <t>notes</t>
  </si>
  <si>
    <t>Fabrication order</t>
  </si>
  <si>
    <t>flushing order</t>
  </si>
  <si>
    <t>flushing location</t>
  </si>
  <si>
    <t>N2 Base</t>
  </si>
  <si>
    <t>Uncontrolled</t>
  </si>
  <si>
    <t>? maybe used both 1&amp;3</t>
  </si>
  <si>
    <t>V</t>
  </si>
  <si>
    <t>W</t>
  </si>
  <si>
    <t>X</t>
  </si>
  <si>
    <t>Y</t>
  </si>
  <si>
    <t>.02+.02g fructose</t>
  </si>
  <si>
    <t>no second spin 37C</t>
  </si>
  <si>
    <t>chem hood</t>
  </si>
  <si>
    <t>Z</t>
  </si>
  <si>
    <t>AA</t>
  </si>
  <si>
    <t>BB</t>
  </si>
  <si>
    <t>CC</t>
  </si>
  <si>
    <t>DD</t>
  </si>
  <si>
    <t>EE</t>
  </si>
  <si>
    <t>FF</t>
  </si>
  <si>
    <t>GG</t>
  </si>
  <si>
    <t>0g trehalose</t>
  </si>
  <si>
    <t>.01g trehalose/mL</t>
  </si>
  <si>
    <t>.02 g trehalose/mL</t>
  </si>
  <si>
    <t>2X cells, .02g trehalose</t>
  </si>
  <si>
    <t xml:space="preserve"> uL to add</t>
  </si>
  <si>
    <t>.02g trehalose, .02g fructose</t>
  </si>
  <si>
    <t xml:space="preserve">Drying Notes: </t>
  </si>
  <si>
    <t>25 minutes drying for everything using 21G green needles at 20psi</t>
  </si>
  <si>
    <t>6.4pH (0.2N NaOH)</t>
  </si>
  <si>
    <t>started first spin at 1030 using 3'A-F PCG mRCMf 2/8/16</t>
  </si>
  <si>
    <t>I accidentally put 140uL of cells into the tube #5 without</t>
  </si>
  <si>
    <t>Y, Z, AA into incubator at 1155am</t>
  </si>
  <si>
    <t>After 2nd centrifuge, cells are notably more sticky to the inside of pipette tip</t>
  </si>
  <si>
    <t>Dropped formulation #4 due to lack of cells</t>
  </si>
  <si>
    <t>Concern with accuracy of pipette volumes (tip not attached fully) on formulations 1,2&amp;5. Correction started on making of formulation 3.</t>
  </si>
  <si>
    <t>made three and then capped</t>
  </si>
  <si>
    <t>Finished first flush at 2:05 pm</t>
  </si>
  <si>
    <t>bottles for humidity control will filled with open tubes after convective drying and then moved out of anaerobic chamber and flushed for 10 min with 23G needles at 20psi</t>
  </si>
  <si>
    <t>Everything done and into the anerobic chamber in the dark at 345pm</t>
  </si>
  <si>
    <t>Rehydration 2/22</t>
  </si>
  <si>
    <t>50mL for 1</t>
  </si>
  <si>
    <t>50mL w/ 1g trehalose for 3</t>
  </si>
  <si>
    <t>50mL w/ 0.5g trehalose for 2</t>
  </si>
  <si>
    <t>25mL w/ 0.5g trehalose, 0.5g fructose for 5</t>
  </si>
  <si>
    <t>Flushing done with green needles at 20 psi of syngas for 2 minutes.</t>
  </si>
  <si>
    <t xml:space="preserve">Placed in shaker at 1:52 PM at 50 rpm and 37C. </t>
  </si>
  <si>
    <t>Assaying 2/23</t>
  </si>
  <si>
    <t xml:space="preserve">Tubes A-L removed from shaker at 9:42 AM, sampled at approximately 9:47 AM, and returned to shaker at 9:52 AM. </t>
  </si>
  <si>
    <t>Tubes M-AA removed from shaker at 11:10 AM, sampled at approximately 11:15 AM, and returned to shaker at 11:20 AM.</t>
  </si>
  <si>
    <t>Q was not injected correctly; scratched the run and resampled at 11:52 AM.</t>
  </si>
  <si>
    <t>Tubes BB-GG removed from shaker at 12:20 PM, sampled at approximately 12:22 PM, and returned to shaker at 12:25 PM.</t>
  </si>
  <si>
    <t xml:space="preserve">Syringe H had oxygen leaks both times it was used; may need to be tightened. </t>
  </si>
  <si>
    <t>transfer volume</t>
  </si>
  <si>
    <t>door</t>
  </si>
  <si>
    <t>coat 5cm^2 with all 200uL</t>
  </si>
  <si>
    <t>hood</t>
  </si>
  <si>
    <t>higher cell loading on same surface area</t>
  </si>
  <si>
    <t>"S" w/5 drierite crystals placed carefully in bottom</t>
  </si>
  <si>
    <t>Found in cupboard next to balch tube drawer</t>
  </si>
  <si>
    <t>6mL transfer w/no trehalose</t>
  </si>
  <si>
    <t>6mL transfer 0.02g trehalose</t>
  </si>
  <si>
    <t>6mL transfer 0.1g trehalose</t>
  </si>
  <si>
    <t>6mL transfer 0.4g trehalose</t>
  </si>
  <si>
    <t>3mL transfer, no trehalose</t>
  </si>
  <si>
    <t>1mL transfer, no trehalose</t>
  </si>
  <si>
    <t>6mL transfer in newer media no trehalose</t>
  </si>
  <si>
    <t>25 minutes drying for everything</t>
  </si>
  <si>
    <t>same volume of media for each rinse, 5 or 10?</t>
  </si>
  <si>
    <t>How to flush at door station:</t>
  </si>
  <si>
    <t xml:space="preserve">3'C OTA1 PCG 2/11/16 3 mL Transfer and  3'D OTA1 PCG 2/11/16 1 mL Transfer were put into oakridge bottles for centrifuge. </t>
  </si>
  <si>
    <t xml:space="preserve">Open tank with wrench </t>
  </si>
  <si>
    <t>3'A OTA1 PCG 2/11/16 6 mL Transfer and 3'B OTA1 PCG 2/11/16 6 mL Transfer were placed in an oakridge bottle together for centrifuge</t>
  </si>
  <si>
    <t>Open line when pointing down</t>
  </si>
  <si>
    <t xml:space="preserve">First spin in Beckman at 11:21 AM for 15 min at 5000 rpm, 4C. </t>
  </si>
  <si>
    <t>above points up to be open</t>
  </si>
  <si>
    <t>3'E OTA1 PCG 2/11/16 6mL transfer in mRCMf PCG 2/8/16 (newer media than others) was divided into two oakridge bottles.</t>
  </si>
  <si>
    <t xml:space="preserve">open everything and flush with argon </t>
  </si>
  <si>
    <t xml:space="preserve">Oakridge bottles were centrifuged in rotana for 15 min at 4C and 6000rcf at 11:21 AM. </t>
  </si>
  <si>
    <t xml:space="preserve">After flushed tubes </t>
  </si>
  <si>
    <t xml:space="preserve">Each pellet rinsed with 10mL of </t>
  </si>
  <si>
    <t xml:space="preserve">close the tank </t>
  </si>
  <si>
    <t>Turbidity Ranking (from least to most turbid)</t>
  </si>
  <si>
    <t>Coating Color (from most brown to most white)</t>
  </si>
  <si>
    <t>Tubes centrifuged in rotana for 15min at 4C and 6000rcf at 12:09 PM.</t>
  </si>
  <si>
    <t>20 psi</t>
  </si>
  <si>
    <t>Pellet for 3mL almost looked larger than 6mL; the 1mL look about the same size as 6 mL.</t>
  </si>
  <si>
    <t>open atmosphere</t>
  </si>
  <si>
    <t>Formulations that had trehalose were smoother when making coating; not as blotchy looking, more continous and fluid when spreading on paper.</t>
  </si>
  <si>
    <t>stop a little before bubbles end</t>
  </si>
  <si>
    <t>Flushed with Argon at 20 psi for 25 minutes with green (21G) needles.</t>
  </si>
  <si>
    <t xml:space="preserve">close circle valves </t>
  </si>
  <si>
    <t>Placed in anaerobic chamber at 3:10 PM.</t>
  </si>
  <si>
    <t>pull out</t>
  </si>
  <si>
    <t>Rehydration Notes 2/15/2016</t>
  </si>
  <si>
    <t>All tubes rehydrated with 4 mL of PCG 1YCM 1/19/2016 with 2mL of 0.2 N NaOH.</t>
  </si>
  <si>
    <t>Rehydration occured at approximately 12:20 PM.</t>
  </si>
  <si>
    <t>All tubes flushed with syngas at 20 psi using green needles (21G) for 2 minutes.</t>
  </si>
  <si>
    <t>All tubes placed in shaker at 50 rpm, 37C at 12:57 PM</t>
  </si>
  <si>
    <t>Assaying Notes 2/16/2016</t>
  </si>
  <si>
    <t xml:space="preserve">Tubes A-L sampled at approximately 10:00 AM and returned to shaker at 10:05 AM. </t>
  </si>
  <si>
    <t xml:space="preserve">Being mindful of syringe E since it had oxygen peaks last week -- could have been problem with way syringe was stored. </t>
  </si>
  <si>
    <t xml:space="preserve">Syringe E had an oxygen peak again. </t>
  </si>
  <si>
    <t xml:space="preserve">Tubes M-V sampled at approximately 11:20 AM. </t>
  </si>
  <si>
    <t>Of trehalose concentraions -- best condition was 0.2g trehalose.</t>
  </si>
  <si>
    <t xml:space="preserve">Of different mL of cell transfer -- 6 mL was most reactive, 3 mL was less, 1 mL was even less. </t>
  </si>
  <si>
    <t>From Tubes S and T -- doesn't seem like coating smaller surface area had an influence on reactivity.</t>
  </si>
  <si>
    <t>From Tubes U and V -- doesn't seem like drierite made a difference.</t>
  </si>
  <si>
    <t xml:space="preserve">Syringe E valve tightened and tested again -- oxygen peak is gone! </t>
  </si>
  <si>
    <t>Formulation pH</t>
  </si>
  <si>
    <t>Argon flush time at 20psi (min)</t>
  </si>
  <si>
    <t>Flushing station</t>
  </si>
  <si>
    <t>low</t>
  </si>
  <si>
    <t>Under hood</t>
  </si>
  <si>
    <t>By door</t>
  </si>
  <si>
    <t>medium</t>
  </si>
  <si>
    <t>high</t>
  </si>
  <si>
    <t>none</t>
  </si>
  <si>
    <t>#1 low</t>
  </si>
  <si>
    <t>left</t>
  </si>
  <si>
    <t>#2 medium</t>
  </si>
  <si>
    <t>right</t>
  </si>
  <si>
    <t>#3 high</t>
  </si>
  <si>
    <t>2.5% Cysteine in 0.3N NaOH</t>
  </si>
  <si>
    <t>Notes:</t>
  </si>
  <si>
    <t>All substrates were 2X13cm</t>
  </si>
  <si>
    <t>4mL is to be added when rehydrated</t>
  </si>
  <si>
    <t>coated surface area is 10cm^2</t>
  </si>
  <si>
    <t>shaker speed is 50rpm</t>
  </si>
  <si>
    <t>Coating volume is 200uL per strip</t>
  </si>
  <si>
    <t>Substrate is 3MM chromatography paper</t>
  </si>
  <si>
    <t>All flushing for drying is done with green needles 21G</t>
  </si>
  <si>
    <t>Drying Notes 2/5</t>
  </si>
  <si>
    <t>Chamber flushed until H level was at 00.5 before starting.</t>
  </si>
  <si>
    <t>Bottles used were 3' A-D OTA 1 mRCMF PCG 1/26/16.</t>
  </si>
  <si>
    <t xml:space="preserve">First spin in Beckman at 11:05 AM for 15 min at 5000 rpm, 4C. </t>
  </si>
  <si>
    <t>Rinsed with 20 mL from 25 mL bottle of 1YCM PCG 1/25/16 with 1 mL Cys and 0.1 M NaOH.</t>
  </si>
  <si>
    <t>Tube centrifuged in rotana for 15min at 4C and 6000rcf at 11:38 AM.</t>
  </si>
  <si>
    <t>Total volume of the pellet is ~1600uL</t>
  </si>
  <si>
    <t>Flushed with Argon at 20 psi for specified durations with green (21G) needles.</t>
  </si>
  <si>
    <t>G-O and P-R were flushed with argon at flushing station by the door; all other tubes flushed with argon under hood.</t>
  </si>
  <si>
    <t>Placed in anaerobic chamber at 3:18 PM.</t>
  </si>
  <si>
    <t>Rehydration Notes 2/8</t>
  </si>
  <si>
    <t xml:space="preserve">Began rehydration with tubes J, K, and L; media turned pink once in tubes but media in vial didn't change color. </t>
  </si>
  <si>
    <t>Likely a result of new pipettes being brought in without time to equilibrate to anoxic as nothing else changed color</t>
  </si>
  <si>
    <t>Rehydrated with 4mL of 1 YCM 50 mL PCG 1/25/16 2.5% Cys and various amounts of NaOH for different pH levels.</t>
  </si>
  <si>
    <t>Rehydration occured at approximately 11:25 AM</t>
  </si>
  <si>
    <t>All tubes were flushed with syngas at 10 psi for 2 minutes.</t>
  </si>
  <si>
    <t>Strips were slightly twisted in tubes: D (has crinkle in center of strip), L (has crinkle at bottom), R (has crinkle on bottom), S (has crinkle on bottom)</t>
  </si>
  <si>
    <t xml:space="preserve">Many strips straightened out after rehydration and flushing. </t>
  </si>
  <si>
    <t>All tubes placed in shaker at 50 rpm, 37C at 12:08 PM.</t>
  </si>
  <si>
    <t xml:space="preserve">Sampled tubes M-V at 4:04 PM and returned them to shaker at 4:09 PM. </t>
  </si>
  <si>
    <t>Assaying Notes 2/9</t>
  </si>
  <si>
    <t>Sampled tubes A-L at 9:58 AM and returned them to shaker at 10:05 AM.</t>
  </si>
  <si>
    <t xml:space="preserve">Sampled tubes M-U at 11:02 AM and returned them to shaker at 11:11 AM. </t>
  </si>
  <si>
    <t>Tubes E and Q had an oxygen peaks when sampled, so resampled at 12:23 PM.</t>
  </si>
  <si>
    <t xml:space="preserve">Tubes E and Q were both sampled with the syringe E; could have been left open which resulted in oxygen peak. </t>
  </si>
  <si>
    <t>K had best reactivity out of medium samples J, K, L; could be due to darker clump of cells on strip.</t>
  </si>
  <si>
    <t xml:space="preserve">O had best reactivity out of high samples M, N, O; could also be due to darker clump of cells on strip. </t>
  </si>
  <si>
    <t>Notch</t>
  </si>
  <si>
    <t>Vacuum Drying Time</t>
  </si>
  <si>
    <t>needles used for flushing</t>
  </si>
  <si>
    <t>blue (23G)</t>
  </si>
  <si>
    <t>green (21G)</t>
  </si>
  <si>
    <t>1 for 10 min, end of 2 for 15 minutes</t>
  </si>
  <si>
    <t>this was a mistake, should have been in 2nd batch</t>
  </si>
  <si>
    <t>2 for last 10 minutes</t>
  </si>
  <si>
    <t>#2 high</t>
  </si>
  <si>
    <t>additional low</t>
  </si>
  <si>
    <t>Rehydration Notes 2/1/2016</t>
  </si>
  <si>
    <t>Drying Notes 1/29/2016</t>
  </si>
  <si>
    <t>** try to straighten out strip when in chamber rehydrating; get non coating edge wet and straighten</t>
  </si>
  <si>
    <t>Tubes rehydrated with the same type of media used in their cell formulation.</t>
  </si>
  <si>
    <t>0.1 M NaOH reduced media was clearer in color while 0.2 M NaOH reduced media had more yellow coloring.</t>
  </si>
  <si>
    <t>Rehydration done at approximately 11:20 AM.</t>
  </si>
  <si>
    <t>Bottles used were 3' A-D OTA 1 PCG 1/28/16.</t>
  </si>
  <si>
    <t>4 mL of 1 YCM 50 mL PCG 1/25/16 2 mL Cys 0.1 M NaOH was added to tubes with low pH.</t>
  </si>
  <si>
    <t xml:space="preserve">First spin in Beckman at 11:48 AM for 15 min at 5000 rpm, 4C. </t>
  </si>
  <si>
    <t>4 mL of 1 YCM 50 mL PCG 1/25/16 2 mL Cys 0.2 M NaOH was added to tubes with high pH.</t>
  </si>
  <si>
    <t>Tube centrifuged in rotana for 15min at 4C and 6000rcf at 12:23 PM.</t>
  </si>
  <si>
    <t>All tubes placed in shaker at 50 rpm, 37C at 12:06 PM.</t>
  </si>
  <si>
    <t>Total volume of the pellet is ~1500uL</t>
  </si>
  <si>
    <t>Low pH cells ran out on second 100 uL of last coating, had to make more with remaing cells: 50 uL of cells with 117 uL of media.</t>
  </si>
  <si>
    <t>Assaying Notes 2/2/2016</t>
  </si>
  <si>
    <t>Strips A- J dried in 25 mm Hg vacuume for 60 minutes.</t>
  </si>
  <si>
    <t>Sampled tubes A-L at 2:43 PM and returned them to shaker at 2:48 PM.</t>
  </si>
  <si>
    <t xml:space="preserve">Put in anaerobic hood at 4:25 PM. </t>
  </si>
  <si>
    <t>Additional cells made up the coating in P</t>
  </si>
  <si>
    <t>Substrate</t>
  </si>
  <si>
    <t>Volume to Add In</t>
  </si>
  <si>
    <t>Total Liquid Volume</t>
  </si>
  <si>
    <t>Drying Time</t>
  </si>
  <si>
    <t>Substrate Size (cm^2)</t>
  </si>
  <si>
    <t>Coating Volume (uL)</t>
  </si>
  <si>
    <t>Coated Surface Area (cm^2)</t>
  </si>
  <si>
    <t>Shaker Speed</t>
  </si>
  <si>
    <t>Argon flush time at 10psi (min)</t>
  </si>
  <si>
    <t>3MM</t>
  </si>
  <si>
    <t>Assayed 1/26/16</t>
  </si>
  <si>
    <t>Assayed 1/27/16</t>
  </si>
  <si>
    <t>2.5% Cysteine Hydrochloride in 0.1N NaOH 1mL</t>
  </si>
  <si>
    <t>PETC 1754 0.2mL</t>
  </si>
  <si>
    <t>Wild Type</t>
  </si>
  <si>
    <t>Drying Notes 01/22/2016</t>
  </si>
  <si>
    <t>started first spin at 1110am</t>
  </si>
  <si>
    <t>All bottles were mRCMf PCG 1/11/16 reduced with 3mL CYS</t>
  </si>
  <si>
    <t>1YCM bottels were reduced the night before and put in the shaker to make sure all the O2 was consumed by the reducing agent</t>
  </si>
  <si>
    <t>After the first spin, each oak ridge tube resuspended in 10mL of 1YCM reduced with 1mL CYS PCG 1/11/16</t>
  </si>
  <si>
    <t>Cell types were kept separate throughout</t>
  </si>
  <si>
    <t>anaerobic chamber was at 0.5% before I started and after 2nd spin, there was no discoloration in the media</t>
  </si>
  <si>
    <t>after the second spin, I dumped the supernatant into the waste container and it turn pink, which freaked me out.  It went back to clear, though.  Must have been from the water droplets left in the container from the rinse.</t>
  </si>
  <si>
    <t>roughly 950uL OTA1</t>
  </si>
  <si>
    <t>roughly 550uL WT</t>
  </si>
  <si>
    <t>PQR were coated after vacuum was started for others and left in anaerobic chamber during vacuum period</t>
  </si>
  <si>
    <t>at 10psi, the flush isn't very strong.  Do we need to consider a higher pressure because our needles are so small so that we can get some good flow?</t>
  </si>
  <si>
    <t>Rehydration Notes 01/25/2016</t>
  </si>
  <si>
    <t>Chamber was at 0.5% Hydrogen and 000 PPM oxygen when started.</t>
  </si>
  <si>
    <t>Tubes A-C, G-I, and P-R rehydrated with 2 bottles of 25 mL 1 YCM 1 mL Cys PCG 1/11/16</t>
  </si>
  <si>
    <t>Tubes D-F and J-O rehydrated with 50mL 1 YCM 0.4 mL 1754 PCG 1/11/16</t>
  </si>
  <si>
    <t>All rehydration done at approximately 1:20 PM.</t>
  </si>
  <si>
    <t xml:space="preserve">All tubes placed in shaker at 50 rpm, 37C at 2:06 PM. </t>
  </si>
  <si>
    <t>Assaying Notes 01/26/2016</t>
  </si>
  <si>
    <t>Tubes A-L sampled at 10:05 AM and returned to shaker at 10:10 AM.</t>
  </si>
  <si>
    <t>Tubes M-R sampled at 11:25 AM and returned to shaker at 11:30 AM.</t>
  </si>
  <si>
    <t>Assaying Notes on 1/27/16</t>
  </si>
  <si>
    <t>All tubes removed from shaker at 730 am and sampled</t>
  </si>
  <si>
    <t>Tubidity is negligible in all tubes</t>
  </si>
  <si>
    <t>602hh</t>
  </si>
  <si>
    <t xml:space="preserve">I </t>
  </si>
  <si>
    <t>Assay 01/19/2016</t>
  </si>
  <si>
    <t>Assay 01/20/2016</t>
  </si>
  <si>
    <t>Drying Notes 01/15/2016</t>
  </si>
  <si>
    <t xml:space="preserve">Catalysts in chamber were replaced today. </t>
  </si>
  <si>
    <t>Bottles 3'A-D PCG 1/14/2016 transferred to oak ridge bottle.</t>
  </si>
  <si>
    <t>Oak ridge tube centrifuged in Becman at 4C, 5000rpm and for 15min.</t>
  </si>
  <si>
    <t>Didn't have as much cells as I expected this week.  Could be due to reducing agent being made with water that had O2 in it or the wrong cells.  The pellet was whiter and fluffier than I am used to.</t>
  </si>
  <si>
    <t xml:space="preserve">Pellet had cracks after coming out of the Beckman centrifuge. </t>
  </si>
  <si>
    <t>Rinsed with 20 mL PCG 1/11/2016 1YCM.</t>
  </si>
  <si>
    <t>Tube centrifuged in rotana for 15min at 4C and 6000rcf.</t>
  </si>
  <si>
    <t xml:space="preserve">Coatings A-E removed as soon as made with humidity test strip in tube. </t>
  </si>
  <si>
    <t>A-E Flushed with 5.0 psi Argon for 2 min then placed in the dark at 115pm awaiting move back into chamber.</t>
  </si>
  <si>
    <t xml:space="preserve">Coatings F-K left to dry for 60 minutes with 6 humidity strips also placed in transfer chamber while drying went on. Then transferred to tubes with coatings. </t>
  </si>
  <si>
    <t>K wasn't able to be fully coated with entire volume because ran out of cells.</t>
  </si>
  <si>
    <t>F-K were flushed with 5.0 psi argon for 2 minutes.</t>
  </si>
  <si>
    <t>A-K moved into chamber at 2:55 PM and covered to keep dark.</t>
  </si>
  <si>
    <t>Rehydration Notes 01/18/2016</t>
  </si>
  <si>
    <t>Humidity strips in tubes A and B turned a dark purple, black color toward the bottom and were pink at the top, never reaching the lavender color where they should be read.</t>
  </si>
  <si>
    <t>Possibly because humidity exceeded level able to be detected by the strip or because flow rate out of valves is not even and some tubes got more/less argon than others when flushed.</t>
  </si>
  <si>
    <t>Tube C was pink throughout as well but not purple like Tubes A and B even though they were the same; could be due to valve flow rate.</t>
  </si>
  <si>
    <t>Tubes D-K all had humidities around 10% being read from the strip</t>
  </si>
  <si>
    <t xml:space="preserve">4mL of 50 mL 1YCM 2mL CYS PCG 1/11/16 were used to rehydrate all tubes at approximately 10:15 AM. </t>
  </si>
  <si>
    <t>All tubes placed in shaker at 100 rpm, 37C at 10:40 AM</t>
  </si>
  <si>
    <t xml:space="preserve">Testing humidity strip to see if humidity exceeds the 60% able to read if the strip turns purple like what happened in tubes A and B. </t>
  </si>
  <si>
    <t xml:space="preserve">The strip didn't turn black in an 80% humidity environment. Maybe the strip put in tubes A &amp; B were cut from the same original strip and were just a fluke thing. </t>
  </si>
  <si>
    <t>shaker was accidentally set to 100rpm at the beginning of the experiment</t>
  </si>
  <si>
    <t>consequently, tubes A, C, F, and H were completely underwater with G being very twisted</t>
  </si>
  <si>
    <t>Assaying Notes 01/19/2016</t>
  </si>
  <si>
    <t>Tubes removed from shaker and assayed at 10:00 AM</t>
  </si>
  <si>
    <t>Tubes returned to shaker at 10:09 AM</t>
  </si>
  <si>
    <t>Assaying Notes 01/20/2016</t>
  </si>
  <si>
    <t>Tubes that were reactive were reassayed the next day.</t>
  </si>
  <si>
    <t xml:space="preserve">This included tubes A, H, and J. </t>
  </si>
  <si>
    <t>Removed from shaker and assayed at 12:50 PM.</t>
  </si>
  <si>
    <t>Tubes returned to shaker at 12:55 PM.</t>
  </si>
  <si>
    <t>Notch placement (temp column.)</t>
  </si>
  <si>
    <t>substrate</t>
  </si>
  <si>
    <t>Volume to add in mL</t>
  </si>
  <si>
    <t>total liquid volume</t>
  </si>
  <si>
    <t>RH Storage</t>
  </si>
  <si>
    <t>Rehydration Media</t>
  </si>
  <si>
    <t>substrate size (cm^2)</t>
  </si>
  <si>
    <t>coating volume (uL)</t>
  </si>
  <si>
    <t xml:space="preserve"> coated surface area (cm^2)</t>
  </si>
  <si>
    <t>shaker speed</t>
  </si>
  <si>
    <t>Sampled on 12/9</t>
  </si>
  <si>
    <t>No notch</t>
  </si>
  <si>
    <t>50mL 1YCM 2mL CYS PCG 10/29/15</t>
  </si>
  <si>
    <t>at 9am</t>
  </si>
  <si>
    <t>50mL 2YCM with 2mL CYS in 0.1NaOH PCG 10/29/15</t>
  </si>
  <si>
    <t>50mL 1YCM 2mL CYS PCG 10/29/16</t>
  </si>
  <si>
    <t>50mL 2YCM with 2mL CYS in 0.1NaOH PCG 10/29/16</t>
  </si>
  <si>
    <t>LN</t>
  </si>
  <si>
    <t>50mL 1YCM 2mL CYS PCG 10/29/17</t>
  </si>
  <si>
    <t>50mL 2YCM with 2mL CYS in 0.1NaOH PCG 10/29/17</t>
  </si>
  <si>
    <t>RN</t>
  </si>
  <si>
    <t>Rn</t>
  </si>
  <si>
    <t>50mL 1YCM 2mL CYS PCG 10/29/18</t>
  </si>
  <si>
    <t>50mL 2YCM with 2mL CYS in 0.1NaOH PCG 10/29/18</t>
  </si>
  <si>
    <t>MN</t>
  </si>
  <si>
    <t>50mL 1YCM 2mL CYS PCG 10/29/19</t>
  </si>
  <si>
    <t>50mL 2YCM with 2mL CYS in 0.1NaOH PCG 10/29/19</t>
  </si>
  <si>
    <t>LN&amp;MN</t>
  </si>
  <si>
    <t>50mL 1YCM 2mL CYS PCG 10/29/20</t>
  </si>
  <si>
    <t>50mL 2YCM with 2mL CYS in 0.1NaOH PCG 10/29/20</t>
  </si>
  <si>
    <t>Total</t>
  </si>
  <si>
    <t>Drying Notes</t>
  </si>
  <si>
    <t>Started the day by refreshing the catalyst</t>
  </si>
  <si>
    <t>Bottle</t>
  </si>
  <si>
    <t>1YCM</t>
  </si>
  <si>
    <t xml:space="preserve">Bottles 3'A-D transferred to oak ridge tube </t>
  </si>
  <si>
    <t>Oak ridge tube centrifuged in Becman at 5pm at 4C, 5000rpm and for 15min.</t>
  </si>
  <si>
    <t>Rinsed with PCG 10/29/15 1mL CYS</t>
  </si>
  <si>
    <t xml:space="preserve">Coatings placed in vacuum chamber </t>
  </si>
  <si>
    <t>removed coatings from vacuum chamber in batches per experimental design</t>
  </si>
  <si>
    <t>Note: after 60 minues coatings not put directly in bottle (left out for 30min) were M, N, O P. The bottle they were meant to go in was left open with I,J,K,L</t>
  </si>
  <si>
    <t>All coatings had been placed in large bottles with 11% RH by 2pm.</t>
  </si>
  <si>
    <t>All large bottles flushed with argon at 20psi for 10 minutes</t>
  </si>
  <si>
    <t>Note: There were not enough cells for sample A</t>
  </si>
  <si>
    <t>Rehydration 12/7/15</t>
  </si>
  <si>
    <t>Tubes rehydrated with 4mL of media according to the spreadsheet above</t>
  </si>
  <si>
    <t>All tubes flushed with syngas for 2 min at 10psi</t>
  </si>
  <si>
    <t>All tubes placed in shaker at 2:35 and at 50rpm, 37C</t>
  </si>
  <si>
    <t>Assayed on 12/9 at 9am</t>
  </si>
  <si>
    <t>Raman training</t>
  </si>
  <si>
    <t>Initialize the sample plate scroll it all down.</t>
  </si>
  <si>
    <t>once the software stop, put sample in.</t>
  </si>
  <si>
    <t>system setting for fluorescence sample don’t want to baseline correction.</t>
  </si>
  <si>
    <t>device setting -55 temperature</t>
  </si>
  <si>
    <t xml:space="preserve">1064, sensitivity checking, suppress fluorescence </t>
  </si>
  <si>
    <t xml:space="preserve">583 full strength </t>
  </si>
  <si>
    <t>785 0-255</t>
  </si>
  <si>
    <t xml:space="preserve">integration time </t>
  </si>
  <si>
    <t xml:space="preserve">turn microscope on . use 1 first and 2 when start using. shutter open. reflected and transmitted . 10X IR 40X IR 50X  </t>
  </si>
  <si>
    <t>IR is used for opaque sample 784 1064</t>
  </si>
  <si>
    <t>flat line saturated, shorter integration number or higher laser</t>
  </si>
  <si>
    <t>785nm change power laser setting</t>
  </si>
  <si>
    <t>continuous mode for real time focus</t>
  </si>
  <si>
    <t>before going to laser turn off microscope lamp not sure with the shutter.</t>
  </si>
  <si>
    <t>change to 1 after using laser before opening the door.</t>
  </si>
  <si>
    <t>to reduce ND filter have to have IR objective on.</t>
  </si>
  <si>
    <t>Under tools Aux camera setting</t>
  </si>
  <si>
    <t>image mapping</t>
  </si>
  <si>
    <t xml:space="preserve">tools objective match </t>
  </si>
  <si>
    <t>set to 1 focus</t>
  </si>
  <si>
    <t>open setup image mapping window under tools</t>
  </si>
  <si>
    <t xml:space="preserve">set to 2 </t>
  </si>
  <si>
    <t>save path</t>
  </si>
  <si>
    <t>choose step size  min 1um</t>
  </si>
  <si>
    <t xml:space="preserve">on the front push to left on the control panel </t>
  </si>
  <si>
    <t>play</t>
  </si>
  <si>
    <t xml:space="preserve">z scan </t>
  </si>
  <si>
    <t xml:space="preserve">move form positive to negative </t>
  </si>
  <si>
    <t>click control panel set to 0 (small black button on the right)</t>
  </si>
  <si>
    <t>scan start 0 stop 0.1 step 0.02 (sample plate moving downwards)</t>
  </si>
  <si>
    <t>1064 power go unto 400</t>
  </si>
  <si>
    <t xml:space="preserve">red dyed fabric have peaks </t>
  </si>
  <si>
    <t>a</t>
  </si>
  <si>
    <t>b</t>
  </si>
  <si>
    <t>c</t>
  </si>
  <si>
    <t>d</t>
  </si>
  <si>
    <t xml:space="preserve">B = cell coating after oven dry - (sample 1 paper weight- atmosphere water ratio*sample 1 paper weight) = dry cell weight of 120ul cell </t>
  </si>
  <si>
    <t>3mm paper</t>
  </si>
  <si>
    <t>1ycm</t>
  </si>
  <si>
    <t>second drawer</t>
  </si>
  <si>
    <t>y=4.6268*t^-0.265</t>
  </si>
  <si>
    <t>4431min</t>
  </si>
  <si>
    <t>140642min</t>
  </si>
  <si>
    <t>Sampled on 11/24/2015 and 2:05 pm</t>
  </si>
  <si>
    <t>total 602hh</t>
  </si>
  <si>
    <t>total 3MM</t>
  </si>
  <si>
    <t xml:space="preserve">1mL 1YCM </t>
  </si>
  <si>
    <t xml:space="preserve">**Note: Beckman did not brake and it took an hour for the centrifuge to slow down </t>
  </si>
  <si>
    <t>Tube centrifuged in rotana at 6:20 for 15min at 4C and 6000rcf.</t>
  </si>
  <si>
    <t>Coatings placed in vacuum chamber at 7</t>
  </si>
  <si>
    <t>All coatings placed in large bottles with 11% RH</t>
  </si>
  <si>
    <t>**Note: I felt air escaping through the needle hole after I pulled out the flushing needle and before venting to atmospheric. We may need to adjust the bottle caps.</t>
  </si>
  <si>
    <t>Bottles placed in anaerobic chamber at 9:20</t>
  </si>
  <si>
    <t>Rehydration:</t>
  </si>
  <si>
    <t>All tubes rehydrated with 4mL of 1YCM (50 mL PCG 10/29/15 w/ 2mL of CYS)</t>
  </si>
  <si>
    <t>All tubes flushed with syngas for 2min at 10psi.</t>
  </si>
  <si>
    <t>Al tubes placed in shaker at 3:15pm</t>
  </si>
  <si>
    <t>Sampling: 11/24/2015</t>
  </si>
  <si>
    <t>Tubes A-L removed from shaker at 2:04 pm returned at 2:12 pm</t>
  </si>
  <si>
    <t>Tubes M-P removed from shaker at 2:51 pm returned at 2:58 pm</t>
  </si>
  <si>
    <t>mins</t>
  </si>
  <si>
    <t>v/v% CO</t>
  </si>
  <si>
    <t>f(x) =</t>
  </si>
  <si>
    <t>*X +</t>
  </si>
  <si>
    <t>diameter of polycarbonate tube</t>
  </si>
  <si>
    <t>cm</t>
  </si>
  <si>
    <t>circumference</t>
  </si>
  <si>
    <t xml:space="preserve">Initial number of moles of CO </t>
  </si>
  <si>
    <t>Rate mmol CO/m^2*h</t>
  </si>
  <si>
    <t xml:space="preserve">5 PSI gauge </t>
  </si>
  <si>
    <t>n=PV/RT</t>
  </si>
  <si>
    <t>Assuming constant 70 mL volume of reactor</t>
  </si>
  <si>
    <t>reservoir</t>
  </si>
  <si>
    <t>CO fraction of Syngas</t>
  </si>
  <si>
    <t xml:space="preserve">T </t>
  </si>
  <si>
    <t>Initial CO volume in reactor</t>
  </si>
  <si>
    <t xml:space="preserve">reactor </t>
  </si>
  <si>
    <t xml:space="preserve">PSI to ATM </t>
  </si>
  <si>
    <t>(L*atm)/(mol*K)</t>
  </si>
  <si>
    <t>Decreasing at 27.3% of 70 mL volume per hour</t>
  </si>
  <si>
    <t>coating area</t>
  </si>
  <si>
    <t>cm^2</t>
  </si>
  <si>
    <t>Room Temp (C)</t>
  </si>
  <si>
    <t>atm</t>
  </si>
  <si>
    <t>mL/h</t>
  </si>
  <si>
    <t xml:space="preserve">reactivity </t>
  </si>
  <si>
    <t>CO%/h</t>
  </si>
  <si>
    <t>Change to mmol/h</t>
  </si>
  <si>
    <t>n=</t>
  </si>
  <si>
    <t>mol of CO</t>
  </si>
  <si>
    <t>Multiply by density; divide by molecular weight</t>
  </si>
  <si>
    <t>mmol of CO</t>
  </si>
  <si>
    <t>density of CO</t>
  </si>
  <si>
    <t>kg/m^3</t>
  </si>
  <si>
    <t>m^3 to mL</t>
  </si>
  <si>
    <t>Notes</t>
  </si>
  <si>
    <t>kg to g</t>
  </si>
  <si>
    <t>Started at 9am</t>
  </si>
  <si>
    <t>all reactor lines blown out with air to clear any excess water</t>
  </si>
  <si>
    <t>g/h</t>
  </si>
  <si>
    <t>reactor zone and reservoir dried with Chemwipe.</t>
  </si>
  <si>
    <t>molecular weight CO</t>
  </si>
  <si>
    <t>g/mol</t>
  </si>
  <si>
    <t>mol/h</t>
  </si>
  <si>
    <t>mmol/h</t>
  </si>
  <si>
    <t>Divide by area</t>
  </si>
  <si>
    <t>m^2</t>
  </si>
  <si>
    <t>mmol/m^2*h</t>
  </si>
  <si>
    <t>line</t>
  </si>
  <si>
    <t>tube</t>
  </si>
  <si>
    <t>ethanol</t>
  </si>
  <si>
    <t>ACETATE</t>
  </si>
  <si>
    <t>H2O</t>
  </si>
  <si>
    <t>std1</t>
  </si>
  <si>
    <t>std2</t>
  </si>
  <si>
    <t>std3</t>
  </si>
  <si>
    <t>res</t>
  </si>
  <si>
    <t>rxr</t>
  </si>
  <si>
    <t>aborted</t>
  </si>
  <si>
    <t>Second Run with fresh m-phosphoric acid</t>
  </si>
  <si>
    <t>points from Yu 2014 Figure 4b</t>
  </si>
  <si>
    <t>Re#</t>
  </si>
  <si>
    <t>delta_max/delta_avg</t>
  </si>
  <si>
    <t>samples assayed</t>
  </si>
  <si>
    <t>602h</t>
  </si>
  <si>
    <t>at 2:30</t>
  </si>
  <si>
    <t>Oak ridge tube centrifuged in Becman at 9:45am at 4C, 5000rpm and for 15min.</t>
  </si>
  <si>
    <t>1mL 1YCM + .02 g/mL trehalose</t>
  </si>
  <si>
    <t>Cell pellet rinsed with 20mL of 1YCM and transferred to smaller oak ridge tube</t>
  </si>
  <si>
    <t>Tube centrifuged in rotana at10:10 for 15min at 4C and 6000rcf.</t>
  </si>
  <si>
    <t>1mL 1YCM + 0.05</t>
  </si>
  <si>
    <t xml:space="preserve">Coatings placed in vacuum chamber at 12:05 </t>
  </si>
  <si>
    <t>1mL 1YCM + 0.1</t>
  </si>
  <si>
    <t>Bottles placed in anaerobic chamber at 2"40</t>
  </si>
  <si>
    <t xml:space="preserve">The humidity sensor placed in the 90 min drying time bottle was from the stock of sensors and all those sensors had already turned pin at the 10% level. </t>
  </si>
  <si>
    <t>Rehydration 11/16</t>
  </si>
  <si>
    <t>Rehydrated all tubes with 4mL of 1YCM (PCG 10/29/15)</t>
  </si>
  <si>
    <t>All tubes flushed with syngas for 2 minutes at 10psi</t>
  </si>
  <si>
    <t xml:space="preserve">All tubes placed in shaker at 2:22pm. </t>
  </si>
  <si>
    <t>11/17/15 out of shaker at 2:22 pm. all back into shaker at 250pm</t>
  </si>
  <si>
    <t>/5cm2</t>
  </si>
  <si>
    <t>open vacuum valve,turn on vacuum, close valve at 25. Open argon valve till it drops to 5.(twice with plastic tube, last one with black tube).</t>
  </si>
  <si>
    <t>plain paper drying</t>
  </si>
  <si>
    <t>oven dry coating</t>
  </si>
  <si>
    <t>vacuum 15min dry</t>
  </si>
  <si>
    <t>O1</t>
  </si>
  <si>
    <t>O3</t>
  </si>
  <si>
    <t>9 coatings for vacuum</t>
  </si>
  <si>
    <t>Assum. OD(600)</t>
  </si>
  <si>
    <t>3 coatings for oven</t>
  </si>
  <si>
    <t>3 non-coatings for oven</t>
  </si>
  <si>
    <t>total volume of the pellet</t>
  </si>
  <si>
    <t>50% cells, 120uL</t>
  </si>
  <si>
    <t>#2 on the oven gives us 80C</t>
  </si>
  <si>
    <t>coatings</t>
  </si>
  <si>
    <t>volume</t>
  </si>
  <si>
    <t xml:space="preserve">total </t>
  </si>
  <si>
    <t>Monday</t>
  </si>
  <si>
    <t>afternoon</t>
  </si>
  <si>
    <t>Ryan redydrates</t>
  </si>
  <si>
    <t>Cody makes mRCMf and gets it out of autoclave. Also puts 4 mRCMf bottles (already done) in to warm up for tuesday morning (~430). For OTA: 2mL and 3mL. For WT: 3mL and 3mL CYS</t>
  </si>
  <si>
    <t>Tuesday</t>
  </si>
  <si>
    <t>morning</t>
  </si>
  <si>
    <t>Cody inoculates 10mL into the bottles assigned to the organisms, 1'A, 1'B for both. reduces 7 bottles of mRCMf with 3mL CYS (Dont touch the plunger! Sorry we didn't get a chance to do this again)</t>
  </si>
  <si>
    <t>Michelle assays samples. Puts 4 bottles of mRCMf and 2 bottles of 1YCM (reduced with 1mL CYS, I reduced 11/6/15)</t>
  </si>
  <si>
    <t>Wednesday</t>
  </si>
  <si>
    <t>Cody takes ODs of all 4 bottles. If there is a significant different between OTA1 2mL and 3mL let me know, but it shouldn't be a problem.  Transfer 5mL from 3mL OTA1 to 2'A-D in mRCMF. Transfer 3mL from 1'A WT to 2'A,2'B 1YCM</t>
  </si>
  <si>
    <t>afternon</t>
  </si>
  <si>
    <t>Michael does his thing. At ~430 puts 3 bottles in shaker to warm up (Have you done this before? Just make sure they don't rattle and are horizontal)</t>
  </si>
  <si>
    <t xml:space="preserve">Nick sets up reactor. Please cut 1 of the new tubes into 2 for both lines. Leave one in the bag for later use.  Test if the walls are too thick for our pumps. </t>
  </si>
  <si>
    <t>Thursday</t>
  </si>
  <si>
    <t>Mark and Michelle set up continuous reactor run</t>
  </si>
  <si>
    <t>Jiabao does a dryness experiment</t>
  </si>
  <si>
    <t>Friday</t>
  </si>
  <si>
    <t>ryan does a drying experiment</t>
  </si>
  <si>
    <t>60 min @ 25inHg</t>
  </si>
  <si>
    <t>On 11/10/2015 at 2:07 PM</t>
  </si>
  <si>
    <t>Sampled on 11/11 at 9:30am</t>
  </si>
  <si>
    <t>1mL</t>
  </si>
  <si>
    <t>Reducing media on 11/5/2015</t>
  </si>
  <si>
    <t xml:space="preserve">2.5% CYS hcl reducing agent added to 25mL of 1YCM media </t>
  </si>
  <si>
    <t>2mL</t>
  </si>
  <si>
    <t>Formulation 1 received 1 mL of reducing agent</t>
  </si>
  <si>
    <t>Formulation 2 received 2 mL of reducing agent</t>
  </si>
  <si>
    <t>3mL</t>
  </si>
  <si>
    <t xml:space="preserve">Formulation 3 received 3 mL of reducing agent </t>
  </si>
  <si>
    <t>started at 930 nothing turned pink in the rinse with 1mL of cys in 25mL 1YCM</t>
  </si>
  <si>
    <t>Started drying at 1225</t>
  </si>
  <si>
    <t>Removed at 155 (90 minutes drying)</t>
  </si>
  <si>
    <t>Bottles flushed with 5.0 argon for 10 minutes at 20 psi</t>
  </si>
  <si>
    <t>into anerobic chamber in the dark at 250pm</t>
  </si>
  <si>
    <t>Rehydration 11/9/15</t>
  </si>
  <si>
    <t>Rehydrated tubes A-F with 4mL of 1mL CYS media</t>
  </si>
  <si>
    <t>Rehydrated tubes G-J with 4mL of 2mL CYS media</t>
  </si>
  <si>
    <t>Rehydrated tubes K-P with 4mL of 3mL CYS media</t>
  </si>
  <si>
    <t>Flushed all tubes with syngas for 2 minutes at 10psi</t>
  </si>
  <si>
    <t xml:space="preserve">Placed all tubes in shaker at 2:07pm. </t>
  </si>
  <si>
    <t>Sampling 11/10/2015</t>
  </si>
  <si>
    <t>Samples taken from tubes A-L at 2:07 PM</t>
  </si>
  <si>
    <t>Samples taken from tubes M-P at 2:50 PM</t>
  </si>
  <si>
    <t>Initial</t>
  </si>
  <si>
    <t xml:space="preserve"> vacuum 15min</t>
  </si>
  <si>
    <t>vacuum 30min</t>
  </si>
  <si>
    <t>vacuum 60min</t>
  </si>
  <si>
    <t>oven 60min</t>
  </si>
  <si>
    <t>rep1</t>
  </si>
  <si>
    <t>rep2</t>
  </si>
  <si>
    <t>rep3</t>
  </si>
  <si>
    <t>c1</t>
  </si>
  <si>
    <t>c2</t>
  </si>
  <si>
    <t>c3</t>
  </si>
  <si>
    <t>c4</t>
  </si>
  <si>
    <t>c5</t>
  </si>
  <si>
    <t>c6</t>
  </si>
  <si>
    <t>c7</t>
  </si>
  <si>
    <t>c8</t>
  </si>
  <si>
    <t>c9</t>
  </si>
  <si>
    <t>o1c</t>
  </si>
  <si>
    <t>o2c</t>
  </si>
  <si>
    <t>o3c</t>
  </si>
  <si>
    <t>after coating</t>
  </si>
  <si>
    <t>After drying</t>
  </si>
  <si>
    <t>Water</t>
  </si>
  <si>
    <t>w1</t>
  </si>
  <si>
    <t>w2</t>
  </si>
  <si>
    <t>w3</t>
  </si>
  <si>
    <t>after coating each</t>
  </si>
  <si>
    <t>residual water</t>
  </si>
  <si>
    <t>gwater/gcell</t>
  </si>
  <si>
    <t>oven 30min</t>
  </si>
  <si>
    <t>w4</t>
  </si>
  <si>
    <t>w5</t>
  </si>
  <si>
    <t>w6</t>
  </si>
  <si>
    <t>w7</t>
  </si>
  <si>
    <t>w8</t>
  </si>
  <si>
    <t>w9</t>
  </si>
  <si>
    <t xml:space="preserve">water loss </t>
  </si>
  <si>
    <t>average water loss</t>
  </si>
  <si>
    <t>water loss speed</t>
  </si>
  <si>
    <t>Cell coating</t>
  </si>
  <si>
    <t>15min vacuum</t>
  </si>
  <si>
    <t>30min vacuum</t>
  </si>
  <si>
    <t>30min oven</t>
  </si>
  <si>
    <t>60min oven</t>
  </si>
  <si>
    <t>cell coating</t>
  </si>
  <si>
    <t>water</t>
  </si>
  <si>
    <t>Reducing Agent Added</t>
  </si>
  <si>
    <t>Sampling 2</t>
  </si>
  <si>
    <t>0.5ml CYS (rinse)</t>
  </si>
  <si>
    <t>1mL CYS</t>
  </si>
  <si>
    <t>1mL CYS Na2S</t>
  </si>
  <si>
    <t>2mL CYS Na2S</t>
  </si>
  <si>
    <t>On 11/03/2015 at 2:25 PM</t>
  </si>
  <si>
    <t>0mL</t>
  </si>
  <si>
    <t>SYNGAS</t>
  </si>
  <si>
    <t>4mL</t>
  </si>
  <si>
    <t>6mL</t>
  </si>
  <si>
    <t>**The RINSE 1YCM turned slightly pink in the anaerobic chamber when most of it had been used up. It was pink when used for formulation 1</t>
  </si>
  <si>
    <t>Total for 602hh</t>
  </si>
  <si>
    <t>Bottles 3'A,B,C,D placed in beckman centrifuge at 9:30 for 15min at 5000rpms and 4C</t>
  </si>
  <si>
    <t xml:space="preserve">Formulations </t>
  </si>
  <si>
    <t>Cell pellet rinsed with 20mL of RINSE 1YCM</t>
  </si>
  <si>
    <t>cells</t>
  </si>
  <si>
    <t>Cells centrigued in rotana for 15min at 6000rcf and 4C at 10:10.</t>
  </si>
  <si>
    <t>Coatings placed in vacuum chamber at 11:30.</t>
  </si>
  <si>
    <t>RINSE (0.5)</t>
  </si>
  <si>
    <t>Tubes placed in respective RH bottles.</t>
  </si>
  <si>
    <t>All bottles were flushed with argon at 10psi for 10 minutes</t>
  </si>
  <si>
    <t>**Note the RINSE 1YCM turned pink even before rehydrating the tubes, but changed back to neutral after being flushed with syngas.</t>
  </si>
  <si>
    <t xml:space="preserve">Tubes A-E rehydrated with 4mL of RINSE </t>
  </si>
  <si>
    <t>Tubes F,G,H rehydrated w/ 4mL of 2mL media</t>
  </si>
  <si>
    <t>Tubes I,J,K rehydrated w/ 4mL of 4mL media</t>
  </si>
  <si>
    <t>total cells</t>
  </si>
  <si>
    <t>Tubes L-O rehydated with 4mL of 4mL media</t>
  </si>
  <si>
    <t xml:space="preserve">All tubes flushed with syngas for 2min at 10psi. </t>
  </si>
  <si>
    <t xml:space="preserve">                             RH Left to Right: 0% , 11% , 29%  </t>
  </si>
  <si>
    <t>All tubes placed in shaker at 2:25 at 50rpm &amp; 37C</t>
  </si>
  <si>
    <t>Sampling: 11/3/2015</t>
  </si>
  <si>
    <t>Samples taken from tubes A-L at 2:25 PM on 11/3/2015</t>
  </si>
  <si>
    <t>Samples taken from tubes M-O at 3:00 PM on 11/3/2015</t>
  </si>
  <si>
    <t>All tubes returned to shaker between and after samples were taken</t>
  </si>
  <si>
    <t>Sampling 11/4/15 Samples taken from tubes at 8:35am</t>
  </si>
  <si>
    <t xml:space="preserve">Tubes L,M,N,and O showed discoloration of the coating on the cell side of the paper. The cells seemed to have begun to turn black. </t>
  </si>
  <si>
    <t>pH Measurements: 11/5/2015</t>
  </si>
  <si>
    <t>pH was measured of some of the tubes to test if the reducing agent was causing variance in pH</t>
  </si>
  <si>
    <t>Good pH range; samples made with 1mL CYS; these had highest reactivities</t>
  </si>
  <si>
    <t>** Keep in mind -- aceatic acid production would cause pH to decrease</t>
  </si>
  <si>
    <t>Cells reduced with 1mL CYS Na2S also had decent reactivity, but higher pH; Na2S raises the pH</t>
  </si>
  <si>
    <t xml:space="preserve"> pH of 2mL CYS Na2S samples is high; cells had lowest reactivity </t>
  </si>
  <si>
    <t>Decreasing at 3.63% of 70 mL volume per hour</t>
  </si>
  <si>
    <t>Total Reducing agent added</t>
  </si>
  <si>
    <t>Storage</t>
  </si>
  <si>
    <t>Average</t>
  </si>
  <si>
    <t>purpose: to see why we are getting slower uptake of CO than previously comparing different growth media and 1YCM to see if salt solution messed everything up</t>
  </si>
  <si>
    <t>20 min @ 25in Hg</t>
  </si>
  <si>
    <t>60 min @ 25in Hg</t>
  </si>
  <si>
    <t>-</t>
  </si>
  <si>
    <t>120 min @ 25in Hg</t>
  </si>
  <si>
    <t>On 10/27 at 3pm</t>
  </si>
  <si>
    <t>On 10/28 at 9:30am</t>
  </si>
  <si>
    <t>Rh</t>
  </si>
  <si>
    <t>Media used for rinse and formulation steps was 1YCM PCG 10/20/15 with varying levels of Na2S and CYS (1mL -&gt; 3mL of each)</t>
  </si>
  <si>
    <t>9:20 am combined 3'A,B,C,D in an oakridge tube and put in beckman cent. for 15minutes at 5000rpm and 4C</t>
  </si>
  <si>
    <t>Rinsed with 20mL of 1YCM with 2mL reducing agent</t>
  </si>
  <si>
    <t>9:45 cells centrifuged in rotanna for 15min at 6000rcf and 4C</t>
  </si>
  <si>
    <t>Cells placed in vacuum chamber at 25inHg at 11:30.</t>
  </si>
  <si>
    <t>All tubes placed in respective RH bottles</t>
  </si>
  <si>
    <t>RH bottles flushed with Argon at 10psi for 10minutes</t>
  </si>
  <si>
    <t xml:space="preserve">Bottles placed in anaerobic chamber at 2:30. </t>
  </si>
  <si>
    <t>Rehydration: 10/26</t>
  </si>
  <si>
    <t xml:space="preserve">**Note: Samples 4 and 6 had some kind of particulate floating around, with 6 having more than 4. </t>
  </si>
  <si>
    <t>**Note: Tube C burst under pressure when it was being flushed with syngas</t>
  </si>
  <si>
    <t>Tubes A-F rehydrated with 4mL of 1YCM with 2mL of added reducing agent</t>
  </si>
  <si>
    <t>Tubes G-J rehydrated with 4mL of 1YCM with 4mL of added reducing agent</t>
  </si>
  <si>
    <t>Tubes K-O rehydrated with 4mL of 1YCM with 6mL of added reducing agent</t>
  </si>
  <si>
    <t>All tubes placed in shaker at 2:15 at 50 rpm and 37C</t>
  </si>
  <si>
    <t>We also tested the pH of the different 1YCM types:</t>
  </si>
  <si>
    <t>2mL was</t>
  </si>
  <si>
    <t>4mL was</t>
  </si>
  <si>
    <t>6mL was</t>
  </si>
  <si>
    <t>Sampling: 10/27</t>
  </si>
  <si>
    <t xml:space="preserve">**Note: Tubes A-L (besides C) were all sampled at 2:15 PM </t>
  </si>
  <si>
    <t>**Note: Tubes M, N, and O were sampled at 3:05 PM</t>
  </si>
  <si>
    <t>objective: analyze difference in enhanced recovery as well as coating surface area</t>
  </si>
  <si>
    <t>Media type</t>
  </si>
  <si>
    <t>reaction time (h)</t>
  </si>
  <si>
    <t>Treatment after</t>
  </si>
  <si>
    <t>N/A</t>
  </si>
  <si>
    <t>3 (4:22)</t>
  </si>
  <si>
    <t>rock 20X over 1 min</t>
  </si>
  <si>
    <t>1.5 (1:52pm)</t>
  </si>
  <si>
    <t>total for product</t>
  </si>
  <si>
    <t>NOTES:</t>
  </si>
  <si>
    <t xml:space="preserve">   </t>
  </si>
  <si>
    <t>I forgot to reduce the 1YCM last night, so I reduced this morning at 845am and waited for them to go clear before starting</t>
  </si>
  <si>
    <t>Bottles 2'A-D (PCG 10/19/15) 20mL taken from 2'A for transfer</t>
  </si>
  <si>
    <t>#1 OTA1</t>
  </si>
  <si>
    <t>50mL 1YCM reduced with  1ml CYS (PCG 10/20/15)</t>
  </si>
  <si>
    <t>started at 1045 using 25mL bottle of 1YCM that was reduced previously for the rinse. 50mL bottles were ready when I wanted to add media to tubes</t>
  </si>
  <si>
    <t>into the shaker at 122pm</t>
  </si>
  <si>
    <t>0h1</t>
  </si>
  <si>
    <t>Vaccum drying</t>
  </si>
  <si>
    <t>under 25 vacuum</t>
  </si>
  <si>
    <t>No.</t>
  </si>
  <si>
    <t>paper weight (g)</t>
  </si>
  <si>
    <t>after drying weight (g)</t>
  </si>
  <si>
    <t>drying time (min)</t>
  </si>
  <si>
    <t>remaining water (g)</t>
  </si>
  <si>
    <t>weight loss gradient</t>
  </si>
  <si>
    <t>initial water in room</t>
  </si>
  <si>
    <t>C1</t>
  </si>
  <si>
    <t>C3</t>
  </si>
  <si>
    <t>C2</t>
  </si>
  <si>
    <t>F3</t>
  </si>
  <si>
    <t>F2</t>
  </si>
  <si>
    <t>F1</t>
  </si>
  <si>
    <t>0.2311 0.2330</t>
  </si>
  <si>
    <t>Oven drying</t>
  </si>
  <si>
    <t xml:space="preserve"> </t>
  </si>
  <si>
    <t>CA</t>
  </si>
  <si>
    <t>CB</t>
  </si>
  <si>
    <t>FA</t>
  </si>
  <si>
    <t>FB</t>
  </si>
  <si>
    <t>On 10/21 at 10am</t>
  </si>
  <si>
    <t>headspace</t>
  </si>
  <si>
    <t>1YCM (PCG 10/01/15) xtra cys and Na2S</t>
  </si>
  <si>
    <t>flush</t>
  </si>
  <si>
    <t>1YCM (PCG 10/01/15) xtra cys</t>
  </si>
  <si>
    <t xml:space="preserve">F </t>
  </si>
  <si>
    <t xml:space="preserve">602hh </t>
  </si>
  <si>
    <t>MD</t>
  </si>
  <si>
    <t>Total for 3MM</t>
  </si>
  <si>
    <t>only use black caps for everything!!!</t>
  </si>
  <si>
    <t>The rinse step will all be with xtra cys</t>
  </si>
  <si>
    <t>Tubes C,F,I, &amp; K flushed w/ argon for 2 minutes</t>
  </si>
  <si>
    <t>All other tubes were place in larger 1L bottles and those bottles were flushed for 10minutes each with argon.</t>
  </si>
  <si>
    <t>using 1YCM w/ Na2S xtra cys(PCG 10/01/15)</t>
  </si>
  <si>
    <t>All tubes placed in anaerobic chamber at 1:30.</t>
  </si>
  <si>
    <t>Rehydration on 10/19</t>
  </si>
  <si>
    <t>using 1YCM Na2S &amp; xtra cys(PCG 10/01/15)</t>
  </si>
  <si>
    <t>Tubes A,B,C and G,H,I were rehydrated w/ 4mL of 1YCM with xtra cys and Na2S</t>
  </si>
  <si>
    <t>Tubes D,E,F and J,K,L were rehydrated w/ 4mL of 1YCM with xtra cys</t>
  </si>
  <si>
    <t>All tubes flushed with syngas for 2min at 10psi</t>
  </si>
  <si>
    <t xml:space="preserve">All tubes placed in shaker at 2pm. </t>
  </si>
  <si>
    <t>The humidity sensors that were placed in conditions similar to the samples above returned expected results. The drierite and flushed conditions showed no change in humidity, while the LiCl sensor appeared slightly pinker.</t>
  </si>
  <si>
    <t>Assay</t>
  </si>
  <si>
    <t>**Note: after the first assay the tubes were stored such that some papers were submerged under the media affecting the CO uptake.</t>
  </si>
  <si>
    <t>Suspended</t>
  </si>
  <si>
    <t>BC</t>
  </si>
  <si>
    <t>BC rocked</t>
  </si>
  <si>
    <t>BC shaken</t>
  </si>
  <si>
    <t>rock 10X over 1 min</t>
  </si>
  <si>
    <t>200rpm for 1 min</t>
  </si>
  <si>
    <t>Started at 855am</t>
  </si>
  <si>
    <t>20mL rinse</t>
  </si>
  <si>
    <t>After the spin after the rinse, the media turned pink</t>
  </si>
  <si>
    <t>after coating, none of the media in the tubes turned pink</t>
  </si>
  <si>
    <t>into shaker at 1130am</t>
  </si>
  <si>
    <t>M, N sampled at 155pm</t>
  </si>
  <si>
    <t>everything else out at 330pm. This might have been a little late and there was little CO left</t>
  </si>
  <si>
    <t>suspended</t>
  </si>
  <si>
    <t xml:space="preserve">BC </t>
  </si>
  <si>
    <t>AFTER 24 HOURS</t>
  </si>
  <si>
    <t>AFTER 73 HOURS</t>
  </si>
  <si>
    <t>Condition</t>
  </si>
  <si>
    <t>1YCM (PCG 10/01/15)</t>
  </si>
  <si>
    <t>balch into shaker</t>
  </si>
  <si>
    <t>AFTER 4 HOURS</t>
  </si>
  <si>
    <t>No drying</t>
  </si>
  <si>
    <t>Drying-&gt;shaker</t>
  </si>
  <si>
    <t>LiCl in chamber</t>
  </si>
  <si>
    <t>LiCl bottle</t>
  </si>
  <si>
    <t>After 44 Hours</t>
  </si>
  <si>
    <t>5.0 Ar</t>
  </si>
  <si>
    <t>balch under bench</t>
  </si>
  <si>
    <t xml:space="preserve">** Cap came off when moving in anaerobic hood; wasn't rehydrated or tested. </t>
  </si>
  <si>
    <t>MD &amp; LN</t>
  </si>
  <si>
    <t>balch in Anaerobic chamber</t>
  </si>
  <si>
    <t>MD &amp; RN</t>
  </si>
  <si>
    <t>602hh Filter Paper</t>
  </si>
  <si>
    <t>All with new stoppers from chemglass</t>
  </si>
  <si>
    <t>3'A-D mRCMf of two types: 9/30/15 10/6/15</t>
  </si>
  <si>
    <t>rinsed with 20mL</t>
  </si>
  <si>
    <t>using 1YCM (PCG 10/01/15)</t>
  </si>
  <si>
    <t>ABC into shaker at 11AM</t>
  </si>
  <si>
    <t>*tube C may have had a few cells washed off because during hydration 6mL was put into the tube, however the extra 2mL was immediately removed.</t>
  </si>
  <si>
    <t>anaerobic indicator that was in anaerobic chamber was placed into drying chamber</t>
  </si>
  <si>
    <t>after drying indicator was compared with one that was stored in the anaerobic box with catalyst and the one from the drying chamber (right) was slightly darker.</t>
  </si>
  <si>
    <t>DEF into shaker at 1pm</t>
  </si>
  <si>
    <t xml:space="preserve">Tubes P,Q,and R were moved into the anaerobic chamber at 2:30 over fears that the blue caps do not hold a seal very well. In a long running comparison between black and blue caps, the blue caps showed more leakage than the black caps based on color change in an O2 indicator pellet. </t>
  </si>
  <si>
    <t>Rehydration 10/12:</t>
  </si>
  <si>
    <t>Tube J's cap popped off in the vacuum</t>
  </si>
  <si>
    <t>All other tubes were rehydrated with 4mL of 1YCM w/ 1mL of cys</t>
  </si>
  <si>
    <t xml:space="preserve">All other tubes were flushed with syngas at 10psi for 2 mintues and placed in shaker at 1:55. </t>
  </si>
  <si>
    <t>Sampled G, K, M, P at 330pm on 10/13/15</t>
  </si>
  <si>
    <t>0.75 (1230)</t>
  </si>
  <si>
    <t>1.5 (115)</t>
  </si>
  <si>
    <t>2.25 (2:00)</t>
  </si>
  <si>
    <t xml:space="preserve">S </t>
  </si>
  <si>
    <t>3 (2:45)</t>
  </si>
  <si>
    <t>AB</t>
  </si>
  <si>
    <t>AC</t>
  </si>
  <si>
    <t>AD</t>
  </si>
  <si>
    <t>Started of 845am</t>
  </si>
  <si>
    <t>used 2'A through 2'E mRCMf MJS 9/30/15</t>
  </si>
  <si>
    <t>trasnfer of 20mL was made out of 2'A at 745am</t>
  </si>
  <si>
    <t>after first spin in floor centrifuge at 5000rpm and 4C, rinsed with 25mL of 1YCM PCG 10/1/15</t>
  </si>
  <si>
    <t>all into shaker at 1145 after flushing at 10psi for 2 min</t>
  </si>
  <si>
    <t>A,B,C,G, and maybe H had turned pink before I brought them out of the anaerobic chamber (????)</t>
  </si>
  <si>
    <t>rocked them 20 times before opening to take liquid sample</t>
  </si>
  <si>
    <t>S2</t>
  </si>
  <si>
    <t>std1 old</t>
  </si>
  <si>
    <t>std2 old</t>
  </si>
  <si>
    <t>std3 old</t>
  </si>
  <si>
    <t>sampled on 10/7</t>
  </si>
  <si>
    <t>balch</t>
  </si>
  <si>
    <t>1YCM (PCG 9/22/15)</t>
  </si>
  <si>
    <t>1YCM (PCG 1/4Na 10/01/15)</t>
  </si>
  <si>
    <t>#1 total</t>
  </si>
  <si>
    <t>**NOTE: The rinsing step will need to be differentiated between formulations as well</t>
  </si>
  <si>
    <t>4 bottles</t>
  </si>
  <si>
    <t>Bottles centrifuged in Beckman for 15 minutes at 5000rcf and 4C at 9:15</t>
  </si>
  <si>
    <t xml:space="preserve">from mRCMf (MJS 9/30/15) </t>
  </si>
  <si>
    <t>Formulation pellets 1 &amp; 3 were rinsed with 1YCM (PCG 10/1/15)</t>
  </si>
  <si>
    <t>Formulation 2 pellet was rinsed with 1YCM (PCG 9/22/15)</t>
  </si>
  <si>
    <t>Tubes centrifuged in Rotana for 15 minutes at 6000 rpms and 4C at 9:45</t>
  </si>
  <si>
    <t>from mRCMf (PCG 9/22/15)</t>
  </si>
  <si>
    <t>tubes placed in cabinet at 1:30pm.</t>
  </si>
  <si>
    <t>using 1YCM (PCG 9/22/15)</t>
  </si>
  <si>
    <t>using 1YCM (PCG 1/4Na 10/01/15)</t>
  </si>
  <si>
    <t>Rehydration on 10/5</t>
  </si>
  <si>
    <t>**Note: All tubes with reducing agent showed a burst of pink before fading. The media in tubes A&amp;B, however, turned pink and remained pink even after flushing until 2:45 when all of the color disapeared. .</t>
  </si>
  <si>
    <t xml:space="preserve">**Note: Another thing, Mark wiped down the anaerobic chamber with ethanol on 10/2 because he needed to remove the stock cells in the anaerobic chamber. There is no where for the ethanol to go, so its possible the ethanol reacted with the resazurin. </t>
  </si>
  <si>
    <t>Rehydrated tubes A,B,C,G,H,I with 1YCM PCG 10/1/15</t>
  </si>
  <si>
    <t>Rehydrated tubes D,E,F with 1YCM (PCG 9/22/15)</t>
  </si>
  <si>
    <t>Rehydrated tubes J,K,L with 1YCM (PCG 1/4Na 10/1/15)</t>
  </si>
  <si>
    <t>All tubes flushed with syngas for 4 minutes</t>
  </si>
  <si>
    <t>Tubes placed in shaker at 2pm</t>
  </si>
  <si>
    <t>reaction time (min)</t>
  </si>
  <si>
    <t>1YCM (1mL) CYS</t>
  </si>
  <si>
    <t>? (3:35pm)</t>
  </si>
  <si>
    <t>3MM (rinsed)</t>
  </si>
  <si>
    <t>1YCM (3mL) CYS</t>
  </si>
  <si>
    <t>used 2'E,F, B</t>
  </si>
  <si>
    <t>rinsed with 20mL of 1ycm (PCG 9/22/15 reduced with 3mL of CYS) between spins</t>
  </si>
  <si>
    <t>#1 old media</t>
  </si>
  <si>
    <t>into shaker at 1130</t>
  </si>
  <si>
    <t>GHI turned so coating was on bottom at 325</t>
  </si>
  <si>
    <t>from 1.7 to 3</t>
  </si>
  <si>
    <t>Ethanol</t>
  </si>
  <si>
    <t>failed injection</t>
  </si>
  <si>
    <t>purpose: to see why we are getting slower uptake of CO than previously</t>
  </si>
  <si>
    <t>Bottle</t>
  </si>
  <si>
    <t>A (Drierite)</t>
  </si>
  <si>
    <t>None</t>
  </si>
  <si>
    <t>B (LiCl)</t>
  </si>
  <si>
    <t>Left</t>
  </si>
  <si>
    <t>C (LiCl)</t>
  </si>
  <si>
    <t xml:space="preserve">1YCM </t>
  </si>
  <si>
    <t>D (LiCl)</t>
  </si>
  <si>
    <t>mid</t>
  </si>
  <si>
    <t>E (Drierite)</t>
  </si>
  <si>
    <t>middle &amp; left</t>
  </si>
  <si>
    <t>F (CaCl)</t>
  </si>
  <si>
    <t>3mL total</t>
  </si>
  <si>
    <t>5 bottles</t>
  </si>
  <si>
    <t xml:space="preserve">Formulations2&amp;3 rinsed with 5mL of respective 1YCM </t>
  </si>
  <si>
    <t>1YCM w/ 3mL cys</t>
  </si>
  <si>
    <t>Formulations 1 rinsed with 15mL 1YCm</t>
  </si>
  <si>
    <t>CaCl2 had 9mL of H20 added to 40mL of CaCl2</t>
  </si>
  <si>
    <t>1YCM w/ 2mL cys</t>
  </si>
  <si>
    <t>LiCl had 8mL of H2O added to 25mL of LiCl</t>
  </si>
  <si>
    <t xml:space="preserve">Bottles flushed with argon and stored in ana.chamber at 2:00pm. </t>
  </si>
  <si>
    <t>1YCM w/ 1mL cys</t>
  </si>
  <si>
    <t>A-R removed from shaker at 9/29/15</t>
  </si>
  <si>
    <t>purpose: see how trehalose and type of paper affect dry stability.</t>
  </si>
  <si>
    <t>storage</t>
  </si>
  <si>
    <t>Relative Humidity</t>
  </si>
  <si>
    <t>A (LiCl)</t>
  </si>
  <si>
    <t xml:space="preserve"> no vacuum, LiCl</t>
  </si>
  <si>
    <t>with vacuum, LiCl</t>
  </si>
  <si>
    <t>NN</t>
  </si>
  <si>
    <t>with vacuum, LiCl high cell conc</t>
  </si>
  <si>
    <t>C (Drierite)</t>
  </si>
  <si>
    <t>with vacuum, drierite</t>
  </si>
  <si>
    <t>D (CaCl)</t>
  </si>
  <si>
    <t>with vacuum, CaCl</t>
  </si>
  <si>
    <t>4 serum bottles 20 mL</t>
  </si>
  <si>
    <t>tubes stored in 1L bottles with rubber caps</t>
  </si>
  <si>
    <t>no notch</t>
  </si>
  <si>
    <t>bottles flushed for 7 minutes at 20psi with 5.0 Argon</t>
  </si>
  <si>
    <t>sample on 9/22/15 at noon</t>
  </si>
  <si>
    <t>50 (12:30)</t>
  </si>
  <si>
    <t>100 (1:20)</t>
  </si>
  <si>
    <t>150 (2:10)</t>
  </si>
  <si>
    <t>200 (3:00)</t>
  </si>
  <si>
    <t>250 (3:50)</t>
  </si>
  <si>
    <t>300 (4:40)</t>
  </si>
  <si>
    <t>350 (5:30)</t>
  </si>
  <si>
    <t>rinsed with 25mL of 1ycm between spins</t>
  </si>
  <si>
    <t>into shaker at 1140am</t>
  </si>
  <si>
    <t/>
  </si>
  <si>
    <t>ETHANOL</t>
  </si>
  <si>
    <t>0hour</t>
  </si>
  <si>
    <t>Use 10X and 50X on each</t>
  </si>
  <si>
    <t>3MM paper in cell region and water region at surface focus and two lower 3X</t>
  </si>
  <si>
    <t>paper and cells</t>
  </si>
  <si>
    <t>cells only on metal</t>
  </si>
  <si>
    <t>dried cells on metal</t>
  </si>
  <si>
    <t>Settings:</t>
  </si>
  <si>
    <t>200um hole</t>
  </si>
  <si>
    <t>8 binning factor</t>
  </si>
  <si>
    <t>1 pixel density</t>
  </si>
  <si>
    <t>5s acc 2x</t>
  </si>
  <si>
    <t>100 overlay</t>
  </si>
  <si>
    <t>ICS off</t>
  </si>
  <si>
    <t>500-1800, 2700-3800</t>
  </si>
  <si>
    <t>paper</t>
  </si>
  <si>
    <t>cell solution</t>
  </si>
  <si>
    <t>Al background</t>
  </si>
  <si>
    <t>5.0 Ar/LiCl</t>
  </si>
  <si>
    <t>5.0 Ar/CaCl</t>
  </si>
  <si>
    <t>5.0 Ar/NaCl</t>
  </si>
  <si>
    <t>60 min @ 25in HG</t>
  </si>
  <si>
    <t>Rehydration Notes</t>
  </si>
  <si>
    <t>rinsed with 20mL of 1YCM</t>
  </si>
  <si>
    <t>1cm cut off of each coating due to salt contamination</t>
  </si>
  <si>
    <t>Centrifuge 1 at 8:45</t>
  </si>
  <si>
    <t>Coatings moved to clean tubes &amp; rehydrated with 4mL 1YCM</t>
  </si>
  <si>
    <t>Centrifuge 2 at 9:15</t>
  </si>
  <si>
    <t>When the coatings were placed in the new tubes, they slid all the way down</t>
  </si>
  <si>
    <t>no liquid added to salts in A-F</t>
  </si>
  <si>
    <t>which means the coatings were partially submerged</t>
  </si>
  <si>
    <t>Tubes A-I stored in cupboard at 10:50</t>
  </si>
  <si>
    <t>All tubes flushed with Syngas for 2 min</t>
  </si>
  <si>
    <t>Samples J-O placed in vacuum at 25inHg at 10:50</t>
  </si>
  <si>
    <t xml:space="preserve">Placed in Shaker at 4:20pm. </t>
  </si>
  <si>
    <t>JKL had 400uL of water added</t>
  </si>
  <si>
    <t>GHI had 500uL of water added</t>
  </si>
  <si>
    <t>J-O into cupboard at 12:15</t>
  </si>
  <si>
    <t>0.75 (1:25)</t>
  </si>
  <si>
    <t>1.5 (2:10)</t>
  </si>
  <si>
    <t>2.25 (2:55)</t>
  </si>
  <si>
    <t>3 (3:40)</t>
  </si>
  <si>
    <t>3.75 (4:25)</t>
  </si>
  <si>
    <t>into shaker at 1240pm</t>
  </si>
  <si>
    <t>0h2</t>
  </si>
  <si>
    <t>storage headspace</t>
  </si>
  <si>
    <t>Drying Time (min)</t>
  </si>
  <si>
    <t>scaled CO</t>
  </si>
  <si>
    <t>Normalized</t>
  </si>
  <si>
    <t>N2 amount</t>
  </si>
  <si>
    <t>not done</t>
  </si>
  <si>
    <t>tube #</t>
  </si>
  <si>
    <t>Acetate</t>
  </si>
  <si>
    <t>h2o</t>
  </si>
  <si>
    <t>Today we are running two expeirments.  First experiment is to track product production in the suspension vs biocomposite</t>
  </si>
  <si>
    <t>low eth</t>
  </si>
  <si>
    <t>Second experiment is to compare drying in OTA1 with WT</t>
  </si>
  <si>
    <t>med eth</t>
  </si>
  <si>
    <t>Starting spinning first three bottles at 815am</t>
  </si>
  <si>
    <t>high eth</t>
  </si>
  <si>
    <t>first three bottles only gave of 910uL, I inoculated too late on wednesday. We had to spin a 4th down while leaving the first pellet in the chamber starting at 930</t>
  </si>
  <si>
    <t>#2 OTA1</t>
  </si>
  <si>
    <t>4th bottle rinsed with 10mL of media</t>
  </si>
  <si>
    <t xml:space="preserve">4th bottle of cells finished spinning down at 10:30 with 500uL of cells </t>
  </si>
  <si>
    <t xml:space="preserve">It seems odd that the first 3 bottles only gave 910uL of cells while the 4th bottle, even though it grew for a couple more hours than the other 3 bottles, gave 500uL of cells. </t>
  </si>
  <si>
    <t>tubes into shaker at 1130</t>
  </si>
  <si>
    <t>Note: most samples had a peak at around minute four of area ~1.1</t>
  </si>
  <si>
    <t>0hr 1</t>
  </si>
  <si>
    <t>0hr 2</t>
  </si>
  <si>
    <t>Note: Starting with Sample O, the ethanol peak started to spread out with every sample.  The initial peak at time ~2 stays around 1.1 through the rest of the samples</t>
  </si>
  <si>
    <t>9am 3'A,B,C transferred to 1 large Oak ridge bottle in anaerobic chamber</t>
  </si>
  <si>
    <t>Centrifuged in Beckman at 5,000 rpm,4 degrees C, and for 15 minutes</t>
  </si>
  <si>
    <t>Rinsed the cell-pellet with 20mL 1YCM (pipetting up&amp;down) and transferred to small oak ridge tube</t>
  </si>
  <si>
    <t>Centrifuged in Rotana for 15 min. at 6,000rcf and 4 degrees C.</t>
  </si>
  <si>
    <t>notch left</t>
  </si>
  <si>
    <t>#2 0.02g tre</t>
  </si>
  <si>
    <t xml:space="preserve">Coatings placed in Vacuum chamber for 1 hour at 11am. </t>
  </si>
  <si>
    <t>Coatings placed in test tubes and flushed with argon for 2minutes</t>
  </si>
  <si>
    <t xml:space="preserve">Tubes stored in dark cabinet at 12:30.  </t>
  </si>
  <si>
    <t>Wild type did not produce as tight of a cell-pellet and some was lost draining the 1YCM after the 2nd spin down.</t>
  </si>
  <si>
    <t>purpose: see how different concentrations of a protective disaccharide affect dry stability along with longer drying times</t>
  </si>
  <si>
    <t>Drying time at 25in Hg (hrs)</t>
  </si>
  <si>
    <t>scaled avg</t>
  </si>
  <si>
    <t>#2 is rerun from 7/23 on 602h</t>
  </si>
  <si>
    <t>worst ranked coating is end of each group</t>
  </si>
  <si>
    <t>As time passed papers became increasingly wrinkly but shaped up fine in balch tube</t>
  </si>
  <si>
    <t>assay 7/28</t>
  </si>
  <si>
    <t>.5g sucrose</t>
  </si>
  <si>
    <t># 2</t>
  </si>
  <si>
    <t>formulation 2 cells washed off, solution is more soluble due to sugar; longer drying times showed more cells sticking to paper</t>
  </si>
  <si>
    <t xml:space="preserve">In shaker for 24hrs </t>
  </si>
  <si>
    <t>purpose: see how different concentrations of a protective disaccharide affect dry stability.</t>
  </si>
  <si>
    <t>drying time (hrs)</t>
  </si>
  <si>
    <t>#4, degased for 45mins less then 2/3, only degased for 10 minutes</t>
  </si>
  <si>
    <t>ran out of 602h for #4, used 3MM paper</t>
  </si>
  <si>
    <t>worst ranked coating was put at end of each group</t>
  </si>
  <si>
    <t>Put in shaker 11:43</t>
  </si>
  <si>
    <t>#2 0.02g suc</t>
  </si>
  <si>
    <t>3MM coatings (J,K,L) appeared to stick the most</t>
  </si>
  <si>
    <t>F is clearest and shows most cells left on paper, B</t>
  </si>
  <si>
    <t>notch righ</t>
  </si>
  <si>
    <t>#3 0.1g suc</t>
  </si>
  <si>
    <t>In shaker for 23 hours</t>
  </si>
  <si>
    <t>notch both</t>
  </si>
  <si>
    <t>#4 0.5g suc</t>
  </si>
  <si>
    <t>J,K,L left in 25in Hg until rehydration on Monday 7/13</t>
  </si>
  <si>
    <t>total needs</t>
  </si>
  <si>
    <t>week of June 29th</t>
  </si>
  <si>
    <t>mRCMf</t>
  </si>
  <si>
    <t>Monday: prep (put 2 bottles in to warm up at ~4)</t>
  </si>
  <si>
    <t>Tuesday: inoculate 8-9am into 2 bottles, 10mL from freezer stock, (put 3 bottles in to warm up at ~4)</t>
  </si>
  <si>
    <t>Wednesday: transfer into three bottles 8-9am</t>
  </si>
  <si>
    <t>Thursday: run experiment</t>
  </si>
  <si>
    <t>3 big oak ridge bottles</t>
  </si>
  <si>
    <t>Friday: nothing</t>
  </si>
  <si>
    <t>50 balch tubes</t>
  </si>
  <si>
    <t>needs</t>
  </si>
  <si>
    <t>week of July 6th</t>
  </si>
  <si>
    <t>Monday: rehydrate after class. prep (put 2 bottles in to warm up at ~4)</t>
  </si>
  <si>
    <t>Tuesday: inoculate 8-9am into 2 bottles, 10mL from freezer stock. assay samples from day before. (put 3 bottles in to warm up at ~4)</t>
  </si>
  <si>
    <t>week of July 13</t>
  </si>
  <si>
    <t>clean and prep everything for next week</t>
  </si>
  <si>
    <t>week of July 20th</t>
  </si>
  <si>
    <t xml:space="preserve">N2 Averages </t>
  </si>
  <si>
    <t>drying time</t>
  </si>
  <si>
    <t>45/45/10</t>
  </si>
  <si>
    <t>HH</t>
  </si>
  <si>
    <t>II</t>
  </si>
  <si>
    <t>JJ</t>
  </si>
  <si>
    <t>100% CO</t>
  </si>
  <si>
    <t>KK</t>
  </si>
  <si>
    <t>** Made mistake; sampled again and ran</t>
  </si>
  <si>
    <t>LL</t>
  </si>
  <si>
    <t>MM</t>
  </si>
  <si>
    <t>LiCl</t>
  </si>
  <si>
    <t>OO</t>
  </si>
  <si>
    <t>PP</t>
  </si>
  <si>
    <t>in anaerobic chamber</t>
  </si>
  <si>
    <t>meant to do 60, but did 65min drying at 25in Hg</t>
  </si>
  <si>
    <t>all flushed for 2min at 10psi but for JJ,KK,LL that were flushed for 6min because the CO tank had a flow regulator.</t>
  </si>
  <si>
    <t>visual inspection seemed to show BB had less coating remaining on surface</t>
  </si>
  <si>
    <t>rehydrated at 315 on 6/22/15</t>
  </si>
  <si>
    <t>notch right</t>
  </si>
  <si>
    <t>#2 0.02g/mL suc in 1YCM</t>
  </si>
  <si>
    <t>Sampled 6/23/15 11am</t>
  </si>
  <si>
    <t xml:space="preserve">N2 </t>
  </si>
  <si>
    <t>n/a</t>
  </si>
  <si>
    <t>ABC into shaker at 1035pm</t>
  </si>
  <si>
    <t>DEFG into shaker at 1240</t>
  </si>
  <si>
    <t>ABC sampled at 135pm</t>
  </si>
  <si>
    <t>D sampled at 340, but that was too early</t>
  </si>
  <si>
    <t>EFG sampled at 830pm</t>
  </si>
  <si>
    <t>avg</t>
  </si>
  <si>
    <t>spun down in floor at 5000rpm for 15min at 4c</t>
  </si>
  <si>
    <t>rinse with 20mL 1YCM</t>
  </si>
  <si>
    <t>spin in tabletop at 4C 6000g and 15min</t>
  </si>
  <si>
    <t>made a mistake so I didn't have enought for the .5 fraction with exposure to sucrose in solution for 1hr: M, N, O</t>
  </si>
  <si>
    <t>Again, A-F were taken out of vacuum into anaerobic chamber 26C and 35% RH and sealed.  They had to stay there for any hour.</t>
  </si>
  <si>
    <t>Flushed and put under bench at 1245</t>
  </si>
  <si>
    <t xml:space="preserve">#3 0.02g/mL suc in 1CYM </t>
  </si>
  <si>
    <t>rehydrate and into shaker at 345pm on 6/15/15</t>
  </si>
  <si>
    <t>assayed on 6/16/15 at 1045am</t>
  </si>
  <si>
    <t>turbidity most:L,K,J,G, the rest are basically clear. G is almost clear.</t>
  </si>
  <si>
    <t>Why was G so much more reactive?</t>
  </si>
  <si>
    <t>purpose: see the difference in concentration with different liquid volumes having a control to substract out what the cells have inside them from the rich media (what the rinse doesn't touch)</t>
  </si>
  <si>
    <t>gas type</t>
  </si>
  <si>
    <t>syngas</t>
  </si>
  <si>
    <t>DW AR 60</t>
  </si>
  <si>
    <t>DW AR 80</t>
  </si>
  <si>
    <t>1st spin at 5000rpm on floor centrifuge with needle set at 4C</t>
  </si>
  <si>
    <t>after first spin resuspended in 20mL 1YCM</t>
  </si>
  <si>
    <t>4C 6000g for 15min for 2nd</t>
  </si>
  <si>
    <t>Into shaker at 12pm: media rinses all the cells off new substrates pretty easily, I got folded, G is twisted</t>
  </si>
  <si>
    <t>turbidiy: least E, K, B, L, A, J, D, H, I, G most</t>
  </si>
  <si>
    <t xml:space="preserve">We mistakenly used a cap without a rubber septum to seal for the second spin. </t>
  </si>
  <si>
    <t>Drying time at 25in Hg</t>
  </si>
  <si>
    <t>starting at 9am</t>
  </si>
  <si>
    <t>spun at 5000rpm starting 15min timer as I started the machine. 4C</t>
  </si>
  <si>
    <t>rinsed with 30mL of 1YCM</t>
  </si>
  <si>
    <t>into storage at 1230 after flushing for 2min with 5.0 Ar</t>
  </si>
  <si>
    <t>rehydration process started at 2pm on 6/8/14 and finish with coatings in shaker at 240pm</t>
  </si>
  <si>
    <t>Removed from shaker at 1140am on 6/9/15</t>
  </si>
  <si>
    <t>All tubes have very little turbidity</t>
  </si>
  <si>
    <t>No explanation for why F is so much better than other replicates other than it has a little crinkle in it that kept the coated part off the glass.  Might have gotten mass transfer from both sides.</t>
  </si>
  <si>
    <t>purpose: compare different substrates once and for all and see if I can develop a simple rate constant.</t>
  </si>
  <si>
    <t>pressure (psig)</t>
  </si>
  <si>
    <t>into shaker at 1050am</t>
  </si>
  <si>
    <t>Sampled at 225</t>
  </si>
  <si>
    <t>D-F had higher reactivity than A-C, but much more turbidity.  A-C was as clear as 1YCM initially</t>
  </si>
  <si>
    <t>redo of the samples from the previous day with a new inlet and septum</t>
  </si>
  <si>
    <t>ethanol (2.49m)</t>
  </si>
  <si>
    <t>acetate (5.29m)</t>
  </si>
  <si>
    <t>4.3 at 2.97 min</t>
  </si>
  <si>
    <t>post run bake had a peak of 118 at 1.682: bake is at 200c in the oven and 300c for teh detector for 20min</t>
  </si>
  <si>
    <t>acetate</t>
  </si>
  <si>
    <t>are 2 near ethanol peak: 74.3, and 24.1</t>
  </si>
  <si>
    <t>are 2 near ethanol peak: 195 and 54.7</t>
  </si>
  <si>
    <t>this time I used the big 450 oak ridge bottles with rubber gaskets to put all three in one, 3'A, 3'B, 3'C</t>
  </si>
  <si>
    <t>balance with an oak ridge bottle that didn't have a gasket with tap water</t>
  </si>
  <si>
    <t>spun at 5000rpm because of wider radius, for 15 min.</t>
  </si>
  <si>
    <t>one of the #2 samples only got ~100uL I don't understand. the left notch has a cut it in</t>
  </si>
  <si>
    <t>dried for 40 min at 25in Hg</t>
  </si>
  <si>
    <t>I made a little mistake fist time I flushed the tubes for storage, so they all got 4min flushing instead of 2min</t>
  </si>
  <si>
    <t>rehydrated 5/25/15 at 2pm. into shaker at 235pm.</t>
  </si>
  <si>
    <t>assayed at 230 on 5/26/15</t>
  </si>
  <si>
    <t>purpose: See if we can store the cells and see reactivity over multiple weeks.</t>
  </si>
  <si>
    <t>extra cells from low power experiment</t>
  </si>
  <si>
    <t>420ul left over</t>
  </si>
  <si>
    <t>Dried at 25 in Hg for 40 min</t>
  </si>
  <si>
    <t>flushed for 2min with 5.0 Ar</t>
  </si>
  <si>
    <t>put into cupboard under bench at 130pm</t>
  </si>
  <si>
    <t>OD at 2pm</t>
  </si>
  <si>
    <t>Started with 2'A and 2'B at 9am</t>
  </si>
  <si>
    <t>OD600 of 2'C at 915am is 1.4: The new stock solutions might have improved growth a little</t>
  </si>
  <si>
    <t>rinsed with 24mL of 1YCM between spins</t>
  </si>
  <si>
    <t>Removed from shaker and gas samples taken at 1130am on 5/22/15. No CO in any samples</t>
  </si>
  <si>
    <t>OD and liquid samples taken at 2pm. Samples remained sealed until then.  coatings removed, tube vortexed, then samples taken</t>
  </si>
  <si>
    <t>I hope that wasn't too long between and GC and OD/liquid.  They were upright on the bench that whole time, so I don't expect that there was much reacting going 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</si>
</sst>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7">
    <font>
      <sz val="10"/>
      <color rgb="FF000000"/>
      <name val="Arial"/>
    </font>
    <font>
      <sz val="10"/>
      <name val="Arial"/>
    </font>
    <font>
      <sz val="10"/>
      <name val="Arial"/>
    </font>
    <font>
      <b/>
      <sz val="10"/>
      <name val="Arial"/>
    </font>
    <font>
      <sz val="10"/>
      <color rgb="FFFF0000"/>
      <name val="Arial"/>
    </font>
    <font>
      <sz val="10"/>
      <color rgb="FF0000FF"/>
      <name val="Arial"/>
    </font>
    <font>
      <b/>
      <sz val="10"/>
      <color rgb="FFFF0000"/>
      <name val="Arial"/>
    </font>
    <font>
      <sz val="10"/>
      <color rgb="FF000000"/>
      <name val="Arial"/>
    </font>
    <font>
      <sz val="10"/>
      <name val="Arial"/>
    </font>
    <font>
      <sz val="11"/>
      <name val="Arial"/>
    </font>
    <font>
      <sz val="10"/>
      <color rgb="FF000000"/>
      <name val="Arial"/>
    </font>
    <font>
      <i/>
      <sz val="10"/>
      <name val="Arial"/>
    </font>
    <font>
      <b/>
      <i/>
      <sz val="10"/>
      <name val="Arial"/>
    </font>
    <font>
      <sz val="12"/>
      <color rgb="FF000000"/>
      <name val="宋体"/>
    </font>
    <font>
      <sz val="12"/>
      <color rgb="FF4A86E8"/>
      <name val="宋体"/>
    </font>
    <font>
      <strike/>
      <sz val="10"/>
      <name val="Arial"/>
    </font>
    <font>
      <b/>
      <sz val="10"/>
      <name val="Arial"/>
    </font>
  </fonts>
  <fills count="13">
    <fill>
      <patternFill patternType="none"/>
    </fill>
    <fill>
      <patternFill patternType="gray125"/>
    </fill>
    <fill>
      <patternFill patternType="solid">
        <fgColor rgb="FF00FF00"/>
        <bgColor rgb="FF00FF00"/>
      </patternFill>
    </fill>
    <fill>
      <patternFill patternType="solid">
        <fgColor rgb="FFEAD1DC"/>
        <bgColor rgb="FFEAD1DC"/>
      </patternFill>
    </fill>
    <fill>
      <patternFill patternType="solid">
        <fgColor rgb="FFFFFFFF"/>
        <bgColor rgb="FFFFFF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C27BA0"/>
        <bgColor rgb="FFC27BA0"/>
      </patternFill>
    </fill>
    <fill>
      <patternFill patternType="solid">
        <fgColor rgb="FF00FFFF"/>
        <bgColor rgb="FF00FFFF"/>
      </patternFill>
    </fill>
    <fill>
      <patternFill patternType="solid">
        <fgColor rgb="FFFFFF00"/>
        <bgColor rgb="FFFFFF00"/>
      </patternFill>
    </fill>
    <fill>
      <patternFill patternType="solid">
        <fgColor rgb="FFEA9999"/>
        <bgColor rgb="FFEA9999"/>
      </patternFill>
    </fill>
    <fill>
      <patternFill patternType="solid">
        <fgColor rgb="FFE6B8AF"/>
        <bgColor rgb="FFE6B8AF"/>
      </patternFill>
    </fill>
  </fills>
  <borders count="9">
    <border>
      <left/>
      <right/>
      <top/>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202">
    <xf numFmtId="0" fontId="0" fillId="0" borderId="0" xfId="0" applyFont="1" applyAlignment="1"/>
    <xf numFmtId="0" fontId="1" fillId="0" borderId="0" xfId="0" applyFont="1" applyAlignment="1"/>
    <xf numFmtId="0" fontId="2" fillId="2" borderId="0" xfId="0" applyFont="1" applyFill="1" applyAlignment="1"/>
    <xf numFmtId="18" fontId="1" fillId="0" borderId="0" xfId="0" applyNumberFormat="1" applyFont="1" applyAlignment="1"/>
    <xf numFmtId="0" fontId="3" fillId="3" borderId="0" xfId="0" applyFont="1" applyFill="1" applyAlignment="1"/>
    <xf numFmtId="0" fontId="3" fillId="0" borderId="0" xfId="0" applyFont="1" applyAlignment="1"/>
    <xf numFmtId="0" fontId="1" fillId="3" borderId="0" xfId="0" applyFont="1" applyFill="1"/>
    <xf numFmtId="0" fontId="1" fillId="0" borderId="0" xfId="0" applyFont="1" applyAlignment="1">
      <alignment wrapText="1"/>
    </xf>
    <xf numFmtId="0" fontId="1" fillId="0" borderId="0" xfId="0" applyFont="1" applyAlignment="1">
      <alignment horizontal="right"/>
    </xf>
    <xf numFmtId="0" fontId="1" fillId="4" borderId="0" xfId="0" applyFont="1" applyFill="1" applyAlignment="1"/>
    <xf numFmtId="0" fontId="1" fillId="0" borderId="1" xfId="0" applyFont="1" applyBorder="1" applyAlignment="1"/>
    <xf numFmtId="0" fontId="1" fillId="4" borderId="0" xfId="0" applyFont="1" applyFill="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3" xfId="0" applyFont="1" applyBorder="1" applyAlignment="1"/>
    <xf numFmtId="0" fontId="1" fillId="0" borderId="4" xfId="0" applyFont="1" applyBorder="1" applyAlignment="1"/>
    <xf numFmtId="0" fontId="1" fillId="5" borderId="2" xfId="0" applyFont="1" applyFill="1" applyBorder="1" applyAlignment="1">
      <alignment horizontal="center"/>
    </xf>
    <xf numFmtId="0" fontId="1" fillId="5" borderId="3" xfId="0" applyFont="1" applyFill="1" applyBorder="1" applyAlignment="1">
      <alignment horizontal="center"/>
    </xf>
    <xf numFmtId="0" fontId="1" fillId="5" borderId="3" xfId="0" applyFont="1" applyFill="1" applyBorder="1" applyAlignment="1">
      <alignment horizontal="center"/>
    </xf>
    <xf numFmtId="0" fontId="4" fillId="5" borderId="3" xfId="0" applyFont="1" applyFill="1" applyBorder="1" applyAlignment="1">
      <alignment horizontal="center"/>
    </xf>
    <xf numFmtId="0" fontId="1" fillId="5" borderId="4" xfId="0" applyFont="1" applyFill="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6" xfId="0" applyFont="1" applyBorder="1" applyAlignment="1"/>
    <xf numFmtId="0" fontId="1" fillId="0" borderId="7" xfId="0" applyFont="1" applyBorder="1"/>
    <xf numFmtId="0" fontId="1" fillId="5" borderId="1" xfId="0" applyFont="1" applyFill="1" applyBorder="1" applyAlignment="1">
      <alignment horizontal="center"/>
    </xf>
    <xf numFmtId="0" fontId="1" fillId="5" borderId="0" xfId="0" applyFont="1" applyFill="1" applyAlignment="1">
      <alignment horizontal="center"/>
    </xf>
    <xf numFmtId="0" fontId="1" fillId="5" borderId="0" xfId="0" applyFont="1" applyFill="1" applyAlignment="1">
      <alignment horizontal="center"/>
    </xf>
    <xf numFmtId="0" fontId="1" fillId="5" borderId="0" xfId="0" applyFont="1" applyFill="1" applyAlignment="1">
      <alignment horizontal="center"/>
    </xf>
    <xf numFmtId="0" fontId="1" fillId="5" borderId="8" xfId="0" applyFont="1" applyFill="1" applyBorder="1" applyAlignment="1">
      <alignment horizontal="center"/>
    </xf>
    <xf numFmtId="0" fontId="1" fillId="0" borderId="0" xfId="0" applyFont="1" applyAlignment="1">
      <alignment horizontal="center"/>
    </xf>
    <xf numFmtId="0" fontId="4" fillId="5" borderId="0" xfId="0" applyFont="1" applyFill="1" applyAlignment="1">
      <alignment horizontal="center"/>
    </xf>
    <xf numFmtId="0" fontId="1" fillId="5" borderId="8" xfId="0" applyFont="1" applyFill="1" applyBorder="1" applyAlignment="1">
      <alignment horizontal="center"/>
    </xf>
    <xf numFmtId="0" fontId="1" fillId="0" borderId="2" xfId="0" applyFont="1" applyBorder="1" applyAlignment="1"/>
    <xf numFmtId="0" fontId="1" fillId="0" borderId="3" xfId="0" applyFont="1" applyBorder="1" applyAlignment="1">
      <alignment horizontal="center"/>
    </xf>
    <xf numFmtId="0" fontId="1" fillId="0" borderId="3" xfId="0" applyFont="1" applyBorder="1"/>
    <xf numFmtId="0" fontId="1" fillId="0" borderId="4" xfId="0" applyFont="1" applyBorder="1"/>
    <xf numFmtId="0" fontId="1" fillId="0" borderId="8" xfId="0" applyFont="1" applyBorder="1"/>
    <xf numFmtId="0" fontId="4" fillId="5" borderId="0" xfId="0" applyFont="1" applyFill="1" applyAlignment="1">
      <alignment horizontal="center"/>
    </xf>
    <xf numFmtId="0" fontId="4" fillId="5" borderId="8" xfId="0" applyFont="1" applyFill="1" applyBorder="1" applyAlignment="1">
      <alignment horizontal="center"/>
    </xf>
    <xf numFmtId="0" fontId="5" fillId="5" borderId="0" xfId="0" applyFont="1" applyFill="1" applyAlignment="1">
      <alignment horizontal="center"/>
    </xf>
    <xf numFmtId="0" fontId="1" fillId="0" borderId="5" xfId="0" applyFont="1" applyBorder="1" applyAlignment="1"/>
    <xf numFmtId="0" fontId="1" fillId="0" borderId="6" xfId="0" applyFont="1" applyBorder="1" applyAlignment="1">
      <alignment horizontal="center"/>
    </xf>
    <xf numFmtId="0" fontId="1" fillId="0" borderId="6" xfId="0" applyFont="1" applyBorder="1"/>
    <xf numFmtId="0" fontId="1" fillId="0" borderId="7" xfId="0" applyFont="1" applyBorder="1"/>
    <xf numFmtId="0" fontId="3" fillId="4" borderId="0" xfId="0" applyFont="1" applyFill="1" applyAlignment="1">
      <alignment horizontal="center"/>
    </xf>
    <xf numFmtId="0" fontId="6" fillId="4" borderId="0" xfId="0" applyFont="1" applyFill="1" applyAlignment="1">
      <alignment horizontal="center"/>
    </xf>
    <xf numFmtId="0" fontId="3" fillId="6" borderId="2" xfId="0" applyFont="1" applyFill="1" applyBorder="1" applyAlignment="1">
      <alignment horizontal="center"/>
    </xf>
    <xf numFmtId="0" fontId="3" fillId="6" borderId="3" xfId="0" applyFont="1" applyFill="1" applyBorder="1" applyAlignment="1">
      <alignment horizontal="center"/>
    </xf>
    <xf numFmtId="0" fontId="1" fillId="6" borderId="3" xfId="0" applyFont="1" applyFill="1" applyBorder="1" applyAlignment="1">
      <alignment horizontal="center"/>
    </xf>
    <xf numFmtId="0" fontId="1" fillId="6" borderId="3" xfId="0" applyFont="1" applyFill="1" applyBorder="1" applyAlignment="1"/>
    <xf numFmtId="0" fontId="1" fillId="6" borderId="4" xfId="0" applyFont="1" applyFill="1" applyBorder="1" applyAlignment="1"/>
    <xf numFmtId="0" fontId="1" fillId="4" borderId="0" xfId="0" applyFont="1" applyFill="1" applyAlignment="1">
      <alignment horizontal="center" vertical="center"/>
    </xf>
    <xf numFmtId="0" fontId="1" fillId="6" borderId="0" xfId="0" applyFont="1" applyFill="1" applyAlignment="1">
      <alignment horizontal="center" vertical="center"/>
    </xf>
    <xf numFmtId="0" fontId="1" fillId="6" borderId="0" xfId="0" applyFont="1" applyFill="1" applyAlignment="1">
      <alignment horizontal="center"/>
    </xf>
    <xf numFmtId="0" fontId="1" fillId="6" borderId="0" xfId="0" applyFont="1" applyFill="1" applyAlignment="1">
      <alignment horizontal="center"/>
    </xf>
    <xf numFmtId="0" fontId="1" fillId="6" borderId="0" xfId="0" applyFont="1" applyFill="1" applyAlignment="1">
      <alignment horizontal="center" vertical="center"/>
    </xf>
    <xf numFmtId="0" fontId="1" fillId="6" borderId="0" xfId="0" applyFont="1" applyFill="1"/>
    <xf numFmtId="0" fontId="1" fillId="6" borderId="8" xfId="0" applyFont="1" applyFill="1" applyBorder="1"/>
    <xf numFmtId="0" fontId="1" fillId="6" borderId="0" xfId="0" applyFont="1" applyFill="1" applyAlignment="1">
      <alignment horizontal="center"/>
    </xf>
    <xf numFmtId="0" fontId="1" fillId="5" borderId="5" xfId="0" applyFont="1" applyFill="1" applyBorder="1" applyAlignment="1">
      <alignment horizontal="center"/>
    </xf>
    <xf numFmtId="0" fontId="1" fillId="5" borderId="6" xfId="0" applyFont="1" applyFill="1" applyBorder="1" applyAlignment="1">
      <alignment horizontal="center"/>
    </xf>
    <xf numFmtId="0" fontId="1" fillId="5" borderId="6" xfId="0" applyFont="1" applyFill="1" applyBorder="1" applyAlignment="1">
      <alignment horizontal="center"/>
    </xf>
    <xf numFmtId="0" fontId="1" fillId="5" borderId="6" xfId="0" applyFont="1" applyFill="1" applyBorder="1" applyAlignment="1">
      <alignment horizontal="center"/>
    </xf>
    <xf numFmtId="0" fontId="1" fillId="5" borderId="7" xfId="0" applyFont="1" applyFill="1" applyBorder="1" applyAlignment="1">
      <alignment horizontal="center"/>
    </xf>
    <xf numFmtId="0" fontId="1" fillId="6" borderId="0" xfId="0" applyFont="1" applyFill="1" applyAlignment="1"/>
    <xf numFmtId="0" fontId="1" fillId="6" borderId="8" xfId="0" applyFont="1" applyFill="1" applyBorder="1" applyAlignment="1"/>
    <xf numFmtId="0" fontId="1" fillId="6" borderId="8" xfId="0" applyFont="1" applyFill="1" applyBorder="1"/>
    <xf numFmtId="0" fontId="1" fillId="6" borderId="5"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6" xfId="0" applyFont="1" applyFill="1" applyBorder="1" applyAlignment="1">
      <alignment horizontal="center"/>
    </xf>
    <xf numFmtId="0" fontId="1" fillId="6" borderId="6" xfId="0" applyFont="1" applyFill="1" applyBorder="1" applyAlignment="1">
      <alignment horizontal="center"/>
    </xf>
    <xf numFmtId="0" fontId="1" fillId="6" borderId="6" xfId="0" applyFont="1" applyFill="1" applyBorder="1" applyAlignment="1"/>
    <xf numFmtId="0" fontId="1" fillId="6" borderId="7" xfId="0" applyFont="1" applyFill="1" applyBorder="1"/>
    <xf numFmtId="0" fontId="1" fillId="4" borderId="0" xfId="0" applyFont="1" applyFill="1" applyAlignment="1">
      <alignment horizontal="center"/>
    </xf>
    <xf numFmtId="0" fontId="1" fillId="4" borderId="0" xfId="0" applyFont="1" applyFill="1" applyAlignment="1">
      <alignment horizontal="center" vertical="center"/>
    </xf>
    <xf numFmtId="0" fontId="1" fillId="4" borderId="0" xfId="0" applyFont="1" applyFill="1"/>
    <xf numFmtId="0" fontId="1" fillId="6" borderId="2" xfId="0" applyFont="1" applyFill="1" applyBorder="1" applyAlignment="1">
      <alignment horizontal="center" vertical="center"/>
    </xf>
    <xf numFmtId="0" fontId="1" fillId="6" borderId="3" xfId="0" applyFont="1" applyFill="1" applyBorder="1" applyAlignment="1">
      <alignment horizontal="center" vertical="center"/>
    </xf>
    <xf numFmtId="0" fontId="1" fillId="6" borderId="3" xfId="0" applyFont="1" applyFill="1" applyBorder="1" applyAlignment="1">
      <alignment horizontal="center"/>
    </xf>
    <xf numFmtId="0" fontId="1" fillId="6" borderId="3" xfId="0" applyFont="1" applyFill="1" applyBorder="1" applyAlignment="1">
      <alignment horizontal="center" vertical="center"/>
    </xf>
    <xf numFmtId="0" fontId="1" fillId="6" borderId="4" xfId="0" applyFont="1" applyFill="1" applyBorder="1" applyAlignment="1">
      <alignment horizontal="center"/>
    </xf>
    <xf numFmtId="0" fontId="1" fillId="6" borderId="8" xfId="0" applyFont="1" applyFill="1" applyBorder="1" applyAlignment="1">
      <alignment horizontal="center"/>
    </xf>
    <xf numFmtId="0" fontId="1" fillId="6" borderId="0" xfId="0" applyFont="1" applyFill="1"/>
    <xf numFmtId="0" fontId="1" fillId="0" borderId="0" xfId="0" applyFont="1" applyAlignment="1">
      <alignment horizontal="left"/>
    </xf>
    <xf numFmtId="0" fontId="1" fillId="6" borderId="6" xfId="0" applyFont="1" applyFill="1" applyBorder="1" applyAlignment="1">
      <alignment horizontal="center"/>
    </xf>
    <xf numFmtId="0" fontId="1" fillId="6" borderId="6" xfId="0" applyFont="1" applyFill="1" applyBorder="1"/>
    <xf numFmtId="0" fontId="1" fillId="6" borderId="6" xfId="0" applyFont="1" applyFill="1" applyBorder="1"/>
    <xf numFmtId="0" fontId="1" fillId="6" borderId="7" xfId="0" applyFont="1" applyFill="1" applyBorder="1" applyAlignment="1">
      <alignment horizontal="center"/>
    </xf>
    <xf numFmtId="0" fontId="1" fillId="4" borderId="0" xfId="0" applyFont="1" applyFill="1" applyAlignment="1">
      <alignment horizontal="center"/>
    </xf>
    <xf numFmtId="0" fontId="1" fillId="7" borderId="0" xfId="0" applyFont="1" applyFill="1" applyAlignment="1"/>
    <xf numFmtId="0" fontId="1" fillId="7" borderId="0" xfId="0" applyFont="1" applyFill="1"/>
    <xf numFmtId="0" fontId="1" fillId="7" borderId="0" xfId="0" applyFont="1" applyFill="1"/>
    <xf numFmtId="0" fontId="1" fillId="8" borderId="0" xfId="0" applyFont="1" applyFill="1" applyAlignment="1">
      <alignment horizontal="center"/>
    </xf>
    <xf numFmtId="0" fontId="1" fillId="8" borderId="0" xfId="0" applyFont="1" applyFill="1" applyAlignment="1">
      <alignment horizontal="center"/>
    </xf>
    <xf numFmtId="0" fontId="1" fillId="8" borderId="0" xfId="0" applyFont="1" applyFill="1"/>
    <xf numFmtId="0" fontId="1" fillId="8" borderId="0" xfId="0" applyFont="1" applyFill="1" applyAlignment="1"/>
    <xf numFmtId="0" fontId="1" fillId="0" borderId="4" xfId="0" applyFont="1" applyBorder="1"/>
    <xf numFmtId="0" fontId="1" fillId="0" borderId="8" xfId="0" applyFont="1" applyBorder="1"/>
    <xf numFmtId="0" fontId="1" fillId="2" borderId="0" xfId="0" applyFont="1" applyFill="1"/>
    <xf numFmtId="0" fontId="6" fillId="0" borderId="0" xfId="0" applyFont="1" applyAlignment="1">
      <alignment horizontal="right"/>
    </xf>
    <xf numFmtId="0" fontId="1" fillId="9" borderId="0" xfId="0" applyFont="1" applyFill="1" applyAlignment="1"/>
    <xf numFmtId="0" fontId="1" fillId="2" borderId="0" xfId="0" applyFont="1" applyFill="1" applyAlignment="1"/>
    <xf numFmtId="0" fontId="2" fillId="0" borderId="0" xfId="0" applyFont="1" applyAlignment="1"/>
    <xf numFmtId="0" fontId="1" fillId="10" borderId="3" xfId="0" applyFont="1" applyFill="1" applyBorder="1" applyAlignment="1"/>
    <xf numFmtId="0" fontId="1" fillId="10" borderId="0" xfId="0" applyFont="1" applyFill="1" applyAlignment="1"/>
    <xf numFmtId="0" fontId="1" fillId="10" borderId="0" xfId="0" applyFont="1" applyFill="1"/>
    <xf numFmtId="0" fontId="1" fillId="4" borderId="3" xfId="0" applyFont="1" applyFill="1" applyBorder="1" applyAlignment="1"/>
    <xf numFmtId="0" fontId="1" fillId="2" borderId="0" xfId="0" applyFont="1" applyFill="1"/>
    <xf numFmtId="0" fontId="7" fillId="4" borderId="0" xfId="0" applyFont="1" applyFill="1" applyAlignment="1"/>
    <xf numFmtId="0" fontId="1" fillId="0" borderId="0" xfId="0" applyFont="1" applyAlignment="1"/>
    <xf numFmtId="0" fontId="1" fillId="0" borderId="0" xfId="0" applyFont="1" applyAlignment="1">
      <alignment horizontal="right"/>
    </xf>
    <xf numFmtId="0" fontId="1" fillId="0" borderId="0" xfId="0" applyFont="1" applyAlignment="1">
      <alignment horizontal="right"/>
    </xf>
    <xf numFmtId="0" fontId="1" fillId="0" borderId="0" xfId="0" applyFont="1" applyAlignment="1">
      <alignment horizontal="right"/>
    </xf>
    <xf numFmtId="0" fontId="1" fillId="0" borderId="0" xfId="0" applyFont="1" applyAlignment="1"/>
    <xf numFmtId="0" fontId="1" fillId="11" borderId="0" xfId="0" applyFont="1" applyFill="1" applyAlignment="1"/>
    <xf numFmtId="0" fontId="1" fillId="11" borderId="0" xfId="0" applyFont="1" applyFill="1" applyAlignment="1">
      <alignment horizontal="right"/>
    </xf>
    <xf numFmtId="0" fontId="8" fillId="11" borderId="0" xfId="0" applyFont="1" applyFill="1" applyAlignment="1">
      <alignment horizontal="right"/>
    </xf>
    <xf numFmtId="0" fontId="1" fillId="11" borderId="0" xfId="0" applyFont="1" applyFill="1" applyAlignment="1">
      <alignment horizontal="right"/>
    </xf>
    <xf numFmtId="0" fontId="1" fillId="11" borderId="0" xfId="0" applyFont="1" applyFill="1" applyAlignment="1"/>
    <xf numFmtId="0" fontId="1" fillId="11" borderId="0" xfId="0" applyFont="1" applyFill="1"/>
    <xf numFmtId="0" fontId="2" fillId="11" borderId="0" xfId="0" applyFont="1" applyFill="1" applyAlignment="1"/>
    <xf numFmtId="0" fontId="8" fillId="0" borderId="0" xfId="0" applyFont="1" applyAlignment="1">
      <alignment horizontal="right"/>
    </xf>
    <xf numFmtId="0" fontId="9" fillId="0" borderId="0" xfId="0" applyFont="1" applyAlignment="1"/>
    <xf numFmtId="0" fontId="1" fillId="0" borderId="0" xfId="0" applyFont="1" applyAlignment="1"/>
    <xf numFmtId="0" fontId="3" fillId="0" borderId="0" xfId="0" applyFont="1" applyAlignment="1"/>
    <xf numFmtId="0" fontId="3" fillId="0" borderId="0" xfId="0" applyFont="1" applyAlignment="1">
      <alignment horizontal="right"/>
    </xf>
    <xf numFmtId="0" fontId="1" fillId="0" borderId="0" xfId="0" applyFont="1" applyAlignment="1">
      <alignment horizontal="right"/>
    </xf>
    <xf numFmtId="0" fontId="3" fillId="0" borderId="0" xfId="0" applyFont="1" applyAlignment="1"/>
    <xf numFmtId="0" fontId="6" fillId="0" borderId="0" xfId="0" applyFont="1" applyAlignment="1"/>
    <xf numFmtId="0" fontId="10" fillId="4" borderId="8" xfId="0" applyFont="1" applyFill="1" applyBorder="1"/>
    <xf numFmtId="0" fontId="10" fillId="0" borderId="8" xfId="0" applyFont="1" applyBorder="1"/>
    <xf numFmtId="0" fontId="6" fillId="4" borderId="0" xfId="0" applyFont="1" applyFill="1" applyAlignment="1">
      <alignment horizontal="center" vertical="center"/>
    </xf>
    <xf numFmtId="0" fontId="1" fillId="0" borderId="0" xfId="0" applyFont="1" applyAlignment="1">
      <alignment horizontal="center"/>
    </xf>
    <xf numFmtId="0" fontId="8" fillId="4" borderId="3" xfId="0" applyFont="1" applyFill="1" applyBorder="1" applyAlignment="1"/>
    <xf numFmtId="0" fontId="8" fillId="4" borderId="0" xfId="0" applyFont="1" applyFill="1" applyAlignment="1">
      <alignment horizontal="center"/>
    </xf>
    <xf numFmtId="0" fontId="8" fillId="4" borderId="6" xfId="0" applyFont="1" applyFill="1" applyBorder="1" applyAlignment="1">
      <alignment horizontal="center"/>
    </xf>
    <xf numFmtId="0" fontId="1" fillId="0" borderId="0" xfId="0" applyFont="1" applyAlignment="1">
      <alignment horizontal="left"/>
    </xf>
    <xf numFmtId="14" fontId="1" fillId="0" borderId="0" xfId="0" applyNumberFormat="1" applyFont="1" applyAlignment="1">
      <alignment horizontal="right"/>
    </xf>
    <xf numFmtId="19" fontId="1" fillId="0" borderId="0" xfId="0" applyNumberFormat="1" applyFont="1" applyAlignment="1">
      <alignment horizontal="right"/>
    </xf>
    <xf numFmtId="0" fontId="10" fillId="10" borderId="0" xfId="0" applyFont="1" applyFill="1"/>
    <xf numFmtId="0" fontId="1" fillId="0" borderId="0" xfId="0" applyFont="1" applyAlignment="1"/>
    <xf numFmtId="0" fontId="3" fillId="6" borderId="0" xfId="0" applyFont="1" applyFill="1" applyAlignment="1">
      <alignment horizontal="center"/>
    </xf>
    <xf numFmtId="0" fontId="1" fillId="10" borderId="0" xfId="0" applyFont="1" applyFill="1" applyAlignment="1">
      <alignment horizontal="center"/>
    </xf>
    <xf numFmtId="0" fontId="1" fillId="5" borderId="0" xfId="0" applyFont="1" applyFill="1" applyAlignment="1">
      <alignment horizontal="center"/>
    </xf>
    <xf numFmtId="0" fontId="4" fillId="10" borderId="0" xfId="0" applyFont="1" applyFill="1" applyAlignment="1">
      <alignment horizontal="center"/>
    </xf>
    <xf numFmtId="0" fontId="1" fillId="0" borderId="0" xfId="0" applyFont="1" applyAlignment="1">
      <alignment horizontal="center"/>
    </xf>
    <xf numFmtId="0" fontId="11" fillId="0" borderId="0" xfId="0" applyFont="1" applyAlignment="1"/>
    <xf numFmtId="0" fontId="3" fillId="0" borderId="0" xfId="0" applyFont="1" applyAlignment="1">
      <alignment horizontal="center"/>
    </xf>
    <xf numFmtId="0" fontId="11" fillId="6" borderId="0" xfId="0" applyFont="1" applyFill="1" applyAlignment="1">
      <alignment horizontal="center"/>
    </xf>
    <xf numFmtId="0" fontId="12" fillId="6" borderId="0" xfId="0" applyFont="1" applyFill="1" applyAlignment="1">
      <alignment horizontal="center"/>
    </xf>
    <xf numFmtId="0" fontId="11" fillId="4" borderId="0" xfId="0" applyFont="1" applyFill="1" applyAlignment="1">
      <alignment horizontal="center"/>
    </xf>
    <xf numFmtId="0" fontId="12" fillId="10" borderId="0" xfId="0" applyFont="1" applyFill="1" applyAlignment="1">
      <alignment horizontal="center"/>
    </xf>
    <xf numFmtId="0" fontId="11" fillId="10" borderId="0" xfId="0" applyFont="1" applyFill="1" applyAlignment="1">
      <alignment horizontal="center"/>
    </xf>
    <xf numFmtId="0" fontId="3" fillId="10" borderId="0" xfId="0" applyFont="1" applyFill="1" applyAlignment="1">
      <alignment horizontal="center"/>
    </xf>
    <xf numFmtId="0" fontId="1" fillId="10" borderId="0" xfId="0" applyFont="1" applyFill="1" applyAlignment="1">
      <alignment horizontal="center"/>
    </xf>
    <xf numFmtId="0" fontId="11" fillId="0" borderId="0" xfId="0" applyFont="1" applyAlignment="1">
      <alignment horizontal="center"/>
    </xf>
    <xf numFmtId="0" fontId="12" fillId="0" borderId="0" xfId="0" applyFont="1" applyAlignment="1">
      <alignment horizontal="center"/>
    </xf>
    <xf numFmtId="0" fontId="11" fillId="0" borderId="0" xfId="0" applyFont="1" applyAlignment="1">
      <alignment horizontal="center"/>
    </xf>
    <xf numFmtId="0" fontId="11" fillId="10" borderId="0" xfId="0" applyFont="1" applyFill="1" applyAlignment="1">
      <alignment horizontal="center"/>
    </xf>
    <xf numFmtId="0" fontId="13" fillId="0" borderId="0" xfId="0" applyFont="1" applyAlignment="1">
      <alignment horizontal="center"/>
    </xf>
    <xf numFmtId="0" fontId="13" fillId="0" borderId="0" xfId="0" applyFont="1" applyAlignment="1">
      <alignment horizontal="center"/>
    </xf>
    <xf numFmtId="0" fontId="14" fillId="0" borderId="0" xfId="0" applyFont="1" applyAlignment="1">
      <alignment horizontal="center"/>
    </xf>
    <xf numFmtId="14" fontId="1" fillId="0" borderId="0" xfId="0" applyNumberFormat="1" applyFont="1" applyAlignment="1"/>
    <xf numFmtId="0" fontId="1" fillId="0" borderId="0" xfId="0" applyFont="1" applyAlignment="1"/>
    <xf numFmtId="0" fontId="2" fillId="0" borderId="0" xfId="0" applyFont="1" applyAlignment="1"/>
    <xf numFmtId="0" fontId="2" fillId="0" borderId="0" xfId="0" applyFont="1" applyAlignment="1"/>
    <xf numFmtId="0" fontId="1" fillId="0" borderId="0" xfId="0" applyFont="1" applyAlignment="1">
      <alignment horizontal="left"/>
    </xf>
    <xf numFmtId="0" fontId="3" fillId="0" borderId="0" xfId="0" applyFont="1" applyAlignment="1">
      <alignment horizontal="left"/>
    </xf>
    <xf numFmtId="0" fontId="1" fillId="5" borderId="0" xfId="0" applyFont="1" applyFill="1" applyAlignment="1"/>
    <xf numFmtId="0" fontId="1" fillId="5" borderId="0" xfId="0" applyFont="1" applyFill="1"/>
    <xf numFmtId="0" fontId="1" fillId="5" borderId="0" xfId="0" applyFont="1" applyFill="1"/>
    <xf numFmtId="0" fontId="15" fillId="12" borderId="0" xfId="0" applyFont="1" applyFill="1" applyAlignment="1"/>
    <xf numFmtId="0" fontId="10" fillId="5" borderId="0" xfId="0" applyFont="1" applyFill="1" applyAlignment="1"/>
    <xf numFmtId="0" fontId="10" fillId="5" borderId="0" xfId="0" applyFont="1" applyFill="1"/>
    <xf numFmtId="0" fontId="2" fillId="0" borderId="0" xfId="0" applyFont="1" applyAlignment="1">
      <alignment horizontal="right"/>
    </xf>
    <xf numFmtId="0" fontId="2" fillId="0" borderId="0" xfId="0" applyFont="1" applyAlignment="1">
      <alignment horizontal="right"/>
    </xf>
    <xf numFmtId="0" fontId="1" fillId="0" borderId="0" xfId="0" applyFont="1"/>
    <xf numFmtId="0" fontId="16" fillId="0" borderId="0" xfId="0" applyFont="1" applyAlignment="1"/>
    <xf numFmtId="0" fontId="2" fillId="0" borderId="0" xfId="0" applyFont="1"/>
    <xf numFmtId="0" fontId="2" fillId="0" borderId="0" xfId="0" applyFont="1"/>
    <xf numFmtId="0" fontId="2" fillId="0" borderId="0" xfId="0" applyFont="1" applyAlignment="1">
      <alignment horizontal="right"/>
    </xf>
    <xf numFmtId="164" fontId="1" fillId="0" borderId="0" xfId="0" applyNumberFormat="1" applyFont="1" applyAlignment="1"/>
    <xf numFmtId="14" fontId="1" fillId="0" borderId="0" xfId="0" applyNumberFormat="1" applyFont="1" applyAlignment="1"/>
    <xf numFmtId="0" fontId="3" fillId="0" borderId="0" xfId="0" applyFont="1" applyAlignment="1">
      <alignment horizontal="right"/>
    </xf>
    <xf numFmtId="0" fontId="3" fillId="3" borderId="0" xfId="0" applyFont="1" applyFill="1" applyAlignment="1"/>
    <xf numFmtId="0" fontId="0" fillId="0" borderId="0" xfId="0" applyFont="1" applyAlignment="1"/>
    <xf numFmtId="0" fontId="1" fillId="0" borderId="0" xfId="0" applyFont="1" applyAlignment="1"/>
    <xf numFmtId="0" fontId="1" fillId="0" borderId="0" xfId="0" applyFont="1" applyAlignment="1">
      <alignment horizontal="right"/>
    </xf>
    <xf numFmtId="0" fontId="1" fillId="4" borderId="0" xfId="0" applyFont="1" applyFill="1" applyAlignment="1"/>
    <xf numFmtId="0" fontId="1" fillId="6" borderId="1" xfId="0" applyFont="1" applyFill="1" applyBorder="1" applyAlignment="1">
      <alignment horizontal="center" vertical="center"/>
    </xf>
    <xf numFmtId="0" fontId="1" fillId="0" borderId="1" xfId="0" applyFont="1" applyBorder="1"/>
    <xf numFmtId="0" fontId="1" fillId="6" borderId="0" xfId="0" applyFont="1" applyFill="1" applyAlignment="1">
      <alignment horizontal="center" vertical="center"/>
    </xf>
    <xf numFmtId="0" fontId="1" fillId="0" borderId="5" xfId="0" applyFont="1" applyBorder="1"/>
    <xf numFmtId="0" fontId="1" fillId="4" borderId="0" xfId="0" applyFont="1" applyFill="1" applyAlignment="1">
      <alignment horizontal="center" vertical="center"/>
    </xf>
    <xf numFmtId="0" fontId="1" fillId="6" borderId="0" xfId="0" applyFont="1" applyFill="1" applyAlignment="1">
      <alignment horizontal="center"/>
    </xf>
    <xf numFmtId="0" fontId="1" fillId="10" borderId="0" xfId="0" applyFont="1" applyFill="1" applyAlignment="1">
      <alignment horizontal="center"/>
    </xf>
    <xf numFmtId="0" fontId="10" fillId="0" borderId="0" xfId="0" applyFont="1" applyAlignment="1"/>
    <xf numFmtId="0" fontId="12" fillId="6" borderId="0" xfId="0" applyFont="1" applyFill="1" applyAlignment="1">
      <alignment horizontal="center"/>
    </xf>
    <xf numFmtId="0" fontId="11" fillId="10" borderId="0" xfId="0" applyFont="1" applyFill="1" applyAlignment="1">
      <alignment horizontal="center"/>
    </xf>
    <xf numFmtId="0" fontId="11" fillId="4" borderId="0" xfId="0" applyFont="1" applyFill="1" applyAlignment="1">
      <alignment horizontal="center"/>
    </xf>
    <xf numFmtId="0" fontId="12" fillId="0" borderId="0" xfId="0" applyFont="1" applyAlignment="1">
      <alignment horizontal="center"/>
    </xf>
  </cellXfs>
  <cellStyles count="1">
    <cellStyle name="Normal" xfId="0" builtinId="0"/>
  </cellStyles>
  <dxfs count="1">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a:solidFill>
                  <a:srgbClr val="000000"/>
                </a:solidFill>
              </a:defRPr>
            </a:pPr>
            <a:r>
              <a:t>Water residue VS. Drying time for filter paper</a:t>
            </a:r>
          </a:p>
        </c:rich>
      </c:tx>
      <c:overlay val="0"/>
    </c:title>
    <c:autoTitleDeleted val="0"/>
    <c:plotArea>
      <c:layout/>
      <c:scatterChart>
        <c:scatterStyle val="lineMarker"/>
        <c:varyColors val="1"/>
        <c:ser>
          <c:idx val="0"/>
          <c:order val="0"/>
          <c:tx>
            <c:strRef>
              <c:f>'JW 111915'!$L$24</c:f>
              <c:strCache>
                <c:ptCount val="1"/>
                <c:pt idx="0">
                  <c:v>Experimental D(gwater/gcell)</c:v>
                </c:pt>
              </c:strCache>
            </c:strRef>
          </c:tx>
          <c:spPr>
            <a:ln w="47625">
              <a:noFill/>
            </a:ln>
          </c:spPr>
          <c:marker>
            <c:symbol val="circle"/>
            <c:size val="7"/>
            <c:spPr>
              <a:solidFill>
                <a:srgbClr val="3366CC"/>
              </a:solidFill>
              <a:ln cmpd="sng">
                <a:solidFill>
                  <a:srgbClr val="3366CC"/>
                </a:solidFill>
              </a:ln>
            </c:spPr>
          </c:marker>
          <c:xVal>
            <c:numRef>
              <c:f>'JW 111915'!$C$25:$C$39</c:f>
              <c:numCache>
                <c:formatCode>General</c:formatCode>
                <c:ptCount val="15"/>
                <c:pt idx="0">
                  <c:v>0</c:v>
                </c:pt>
                <c:pt idx="1">
                  <c:v>0</c:v>
                </c:pt>
                <c:pt idx="2">
                  <c:v>0</c:v>
                </c:pt>
                <c:pt idx="3">
                  <c:v>15</c:v>
                </c:pt>
                <c:pt idx="4">
                  <c:v>15</c:v>
                </c:pt>
                <c:pt idx="5">
                  <c:v>15</c:v>
                </c:pt>
                <c:pt idx="6">
                  <c:v>30</c:v>
                </c:pt>
                <c:pt idx="7">
                  <c:v>30</c:v>
                </c:pt>
                <c:pt idx="8">
                  <c:v>30</c:v>
                </c:pt>
                <c:pt idx="9">
                  <c:v>60</c:v>
                </c:pt>
                <c:pt idx="10">
                  <c:v>60</c:v>
                </c:pt>
                <c:pt idx="11">
                  <c:v>60</c:v>
                </c:pt>
                <c:pt idx="12">
                  <c:v>90</c:v>
                </c:pt>
                <c:pt idx="13">
                  <c:v>90</c:v>
                </c:pt>
                <c:pt idx="14">
                  <c:v>90</c:v>
                </c:pt>
              </c:numCache>
            </c:numRef>
          </c:xVal>
          <c:yVal>
            <c:numRef>
              <c:f>'JW 111915'!$L$25:$L$39</c:f>
              <c:numCache>
                <c:formatCode>General</c:formatCode>
                <c:ptCount val="15"/>
                <c:pt idx="0">
                  <c:v>10.827335587608662</c:v>
                </c:pt>
                <c:pt idx="1">
                  <c:v>11.095202073042309</c:v>
                </c:pt>
                <c:pt idx="2">
                  <c:v>10.930361158929294</c:v>
                </c:pt>
                <c:pt idx="3">
                  <c:v>1.4576158592068613</c:v>
                </c:pt>
                <c:pt idx="4">
                  <c:v>1.6169457004261363</c:v>
                </c:pt>
                <c:pt idx="5">
                  <c:v>1.5127792906990556</c:v>
                </c:pt>
                <c:pt idx="6">
                  <c:v>0.95630078898397342</c:v>
                </c:pt>
                <c:pt idx="7">
                  <c:v>0.89004500341245152</c:v>
                </c:pt>
                <c:pt idx="8">
                  <c:v>1.0258386731911271</c:v>
                </c:pt>
                <c:pt idx="9">
                  <c:v>0.63892236153554227</c:v>
                </c:pt>
                <c:pt idx="10">
                  <c:v>0.74294835467894593</c:v>
                </c:pt>
                <c:pt idx="11">
                  <c:v>0.75969219823566714</c:v>
                </c:pt>
                <c:pt idx="12">
                  <c:v>0.52233848572459041</c:v>
                </c:pt>
                <c:pt idx="13">
                  <c:v>0.72992536524592544</c:v>
                </c:pt>
                <c:pt idx="14">
                  <c:v>0.675876420882775</c:v>
                </c:pt>
              </c:numCache>
            </c:numRef>
          </c:yVal>
          <c:smooth val="1"/>
        </c:ser>
        <c:ser>
          <c:idx val="1"/>
          <c:order val="1"/>
          <c:tx>
            <c:strRef>
              <c:f>'JW 111915'!$M$24</c:f>
              <c:strCache>
                <c:ptCount val="1"/>
                <c:pt idx="0">
                  <c:v>Calculate D(g/g)</c:v>
                </c:pt>
              </c:strCache>
            </c:strRef>
          </c:tx>
          <c:spPr>
            <a:ln w="47625">
              <a:noFill/>
            </a:ln>
          </c:spPr>
          <c:marker>
            <c:symbol val="circle"/>
            <c:size val="7"/>
            <c:spPr>
              <a:solidFill>
                <a:srgbClr val="DC3912"/>
              </a:solidFill>
              <a:ln cmpd="sng">
                <a:solidFill>
                  <a:srgbClr val="DC3912"/>
                </a:solidFill>
              </a:ln>
            </c:spPr>
          </c:marker>
          <c:xVal>
            <c:numRef>
              <c:f>'JW 111915'!$C$25:$C$39</c:f>
              <c:numCache>
                <c:formatCode>General</c:formatCode>
                <c:ptCount val="15"/>
                <c:pt idx="0">
                  <c:v>0</c:v>
                </c:pt>
                <c:pt idx="1">
                  <c:v>0</c:v>
                </c:pt>
                <c:pt idx="2">
                  <c:v>0</c:v>
                </c:pt>
                <c:pt idx="3">
                  <c:v>15</c:v>
                </c:pt>
                <c:pt idx="4">
                  <c:v>15</c:v>
                </c:pt>
                <c:pt idx="5">
                  <c:v>15</c:v>
                </c:pt>
                <c:pt idx="6">
                  <c:v>30</c:v>
                </c:pt>
                <c:pt idx="7">
                  <c:v>30</c:v>
                </c:pt>
                <c:pt idx="8">
                  <c:v>30</c:v>
                </c:pt>
                <c:pt idx="9">
                  <c:v>60</c:v>
                </c:pt>
                <c:pt idx="10">
                  <c:v>60</c:v>
                </c:pt>
                <c:pt idx="11">
                  <c:v>60</c:v>
                </c:pt>
                <c:pt idx="12">
                  <c:v>90</c:v>
                </c:pt>
                <c:pt idx="13">
                  <c:v>90</c:v>
                </c:pt>
                <c:pt idx="14">
                  <c:v>90</c:v>
                </c:pt>
              </c:numCache>
            </c:numRef>
          </c:xVal>
          <c:yVal>
            <c:numRef>
              <c:f>'JW 111915'!$M$25:$M$39</c:f>
              <c:numCache>
                <c:formatCode>General</c:formatCode>
                <c:ptCount val="15"/>
                <c:pt idx="0">
                  <c:v>12.587575982739084</c:v>
                </c:pt>
                <c:pt idx="1">
                  <c:v>12.898990523402638</c:v>
                </c:pt>
                <c:pt idx="2">
                  <c:v>12.70735080607122</c:v>
                </c:pt>
                <c:pt idx="3">
                  <c:v>1.8571596505750683</c:v>
                </c:pt>
                <c:pt idx="4">
                  <c:v>1.8798186035141209</c:v>
                </c:pt>
                <c:pt idx="5">
                  <c:v>1.7587174714138687</c:v>
                </c:pt>
                <c:pt idx="6">
                  <c:v>1.1117701807880991</c:v>
                </c:pt>
                <c:pt idx="7">
                  <c:v>1.0347429446385084</c:v>
                </c:pt>
                <c:pt idx="8">
                  <c:v>1.1926130986097476</c:v>
                </c:pt>
                <c:pt idx="9">
                  <c:v>0.74279435673019545</c:v>
                </c:pt>
                <c:pt idx="10">
                  <c:v>0.86373224419819572</c:v>
                </c:pt>
                <c:pt idx="11">
                  <c:v>0.88319819695341761</c:v>
                </c:pt>
                <c:pt idx="12">
                  <c:v>0.6072570046957706</c:v>
                </c:pt>
                <c:pt idx="13">
                  <c:v>0.84859205872189414</c:v>
                </c:pt>
                <c:pt idx="14">
                  <c:v>0.78575617555811628</c:v>
                </c:pt>
              </c:numCache>
            </c:numRef>
          </c:yVal>
          <c:smooth val="1"/>
        </c:ser>
        <c:dLbls>
          <c:showLegendKey val="0"/>
          <c:showVal val="0"/>
          <c:showCatName val="0"/>
          <c:showSerName val="0"/>
          <c:showPercent val="0"/>
          <c:showBubbleSize val="0"/>
        </c:dLbls>
        <c:axId val="-227337312"/>
        <c:axId val="-227331328"/>
      </c:scatterChart>
      <c:valAx>
        <c:axId val="-227337312"/>
        <c:scaling>
          <c:orientation val="minMax"/>
        </c:scaling>
        <c:delete val="0"/>
        <c:axPos val="b"/>
        <c:majorGridlines>
          <c:spPr>
            <a:ln>
              <a:solidFill>
                <a:srgbClr val="B7B7B7"/>
              </a:solidFill>
            </a:ln>
          </c:spPr>
        </c:majorGridlines>
        <c:title>
          <c:tx>
            <c:rich>
              <a:bodyPr/>
              <a:lstStyle/>
              <a:p>
                <a:pPr lvl="0">
                  <a:defRPr/>
                </a:pPr>
                <a:r>
                  <a:t>Time (min)</a:t>
                </a:r>
              </a:p>
            </c:rich>
          </c:tx>
          <c:overlay val="0"/>
        </c:title>
        <c:numFmt formatCode="General" sourceLinked="1"/>
        <c:majorTickMark val="cross"/>
        <c:minorTickMark val="cross"/>
        <c:tickLblPos val="nextTo"/>
        <c:spPr>
          <a:ln w="47625">
            <a:noFill/>
          </a:ln>
        </c:spPr>
        <c:txPr>
          <a:bodyPr/>
          <a:lstStyle/>
          <a:p>
            <a:pPr lvl="0">
              <a:defRPr/>
            </a:pPr>
            <a:endParaRPr lang="en-US"/>
          </a:p>
        </c:txPr>
        <c:crossAx val="-227331328"/>
        <c:crosses val="autoZero"/>
        <c:crossBetween val="midCat"/>
      </c:valAx>
      <c:valAx>
        <c:axId val="-227331328"/>
        <c:scaling>
          <c:orientation val="minMax"/>
          <c:max val="2"/>
        </c:scaling>
        <c:delete val="0"/>
        <c:axPos val="l"/>
        <c:majorGridlines>
          <c:spPr>
            <a:ln>
              <a:solidFill>
                <a:srgbClr val="B7B7B7"/>
              </a:solidFill>
            </a:ln>
          </c:spPr>
        </c:majorGridlines>
        <c:title>
          <c:tx>
            <c:rich>
              <a:bodyPr/>
              <a:lstStyle/>
              <a:p>
                <a:pPr lvl="0">
                  <a:defRPr/>
                </a:pPr>
                <a:r>
                  <a:t>g water/ g cell</a:t>
                </a:r>
              </a:p>
            </c:rich>
          </c:tx>
          <c:overlay val="0"/>
        </c:title>
        <c:numFmt formatCode="General" sourceLinked="1"/>
        <c:majorTickMark val="cross"/>
        <c:minorTickMark val="cross"/>
        <c:tickLblPos val="nextTo"/>
        <c:spPr>
          <a:ln w="47625">
            <a:noFill/>
          </a:ln>
        </c:spPr>
        <c:txPr>
          <a:bodyPr/>
          <a:lstStyle/>
          <a:p>
            <a:pPr lvl="0">
              <a:defRPr/>
            </a:pPr>
            <a:endParaRPr lang="en-US"/>
          </a:p>
        </c:txPr>
        <c:crossAx val="-227337312"/>
        <c:crosses val="autoZero"/>
        <c:crossBetween val="midCat"/>
      </c:valAx>
    </c:plotArea>
    <c:legend>
      <c:legendPos val="b"/>
      <c:overlay val="0"/>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a:pPr>
            <a:r>
              <a:t>Gas uptake</a:t>
            </a:r>
          </a:p>
        </c:rich>
      </c:tx>
      <c:overlay val="0"/>
    </c:title>
    <c:autoTitleDeleted val="0"/>
    <c:plotArea>
      <c:layout/>
      <c:barChart>
        <c:barDir val="col"/>
        <c:grouping val="clustered"/>
        <c:varyColors val="1"/>
        <c:ser>
          <c:idx val="0"/>
          <c:order val="0"/>
          <c:spPr>
            <a:solidFill>
              <a:srgbClr val="3366CC"/>
            </a:solidFill>
          </c:spPr>
          <c:invertIfNegative val="1"/>
          <c:cat>
            <c:strRef>
              <c:f>'MJS liquid product 101515'!$X$3:$X$6</c:f>
              <c:strCache>
                <c:ptCount val="4"/>
                <c:pt idx="0">
                  <c:v>Suspended</c:v>
                </c:pt>
                <c:pt idx="1">
                  <c:v>BC</c:v>
                </c:pt>
                <c:pt idx="2">
                  <c:v>BC rocked</c:v>
                </c:pt>
                <c:pt idx="3">
                  <c:v>BC shaken</c:v>
                </c:pt>
              </c:strCache>
            </c:strRef>
          </c:cat>
          <c:val>
            <c:numRef>
              <c:f>'MJS liquid product 101515'!$Y$3:$Y$6</c:f>
              <c:numCache>
                <c:formatCode>General</c:formatCode>
                <c:ptCount val="4"/>
                <c:pt idx="0">
                  <c:v>891.40604383526818</c:v>
                </c:pt>
                <c:pt idx="1">
                  <c:v>396.11061539156253</c:v>
                </c:pt>
                <c:pt idx="2">
                  <c:v>266.76599750090423</c:v>
                </c:pt>
                <c:pt idx="3">
                  <c:v>342.4200667554307</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220783312"/>
        <c:axId val="-220794192"/>
      </c:barChart>
      <c:catAx>
        <c:axId val="-220783312"/>
        <c:scaling>
          <c:orientation val="minMax"/>
        </c:scaling>
        <c:delete val="0"/>
        <c:axPos val="b"/>
        <c:numFmt formatCode="General" sourceLinked="1"/>
        <c:majorTickMark val="cross"/>
        <c:minorTickMark val="cross"/>
        <c:tickLblPos val="nextTo"/>
        <c:txPr>
          <a:bodyPr/>
          <a:lstStyle/>
          <a:p>
            <a:pPr lvl="0">
              <a:defRPr/>
            </a:pPr>
            <a:endParaRPr lang="en-US"/>
          </a:p>
        </c:txPr>
        <c:crossAx val="-220794192"/>
        <c:crosses val="autoZero"/>
        <c:auto val="1"/>
        <c:lblAlgn val="ctr"/>
        <c:lblOffset val="100"/>
        <c:noMultiLvlLbl val="1"/>
      </c:catAx>
      <c:valAx>
        <c:axId val="-220794192"/>
        <c:scaling>
          <c:orientation val="minMax"/>
          <c:max val="1350"/>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220783312"/>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barChart>
        <c:barDir val="col"/>
        <c:grouping val="clustered"/>
        <c:varyColors val="1"/>
        <c:ser>
          <c:idx val="0"/>
          <c:order val="0"/>
          <c:spPr>
            <a:solidFill>
              <a:srgbClr val="3366CC"/>
            </a:solidFill>
          </c:spPr>
          <c:invertIfNegative val="1"/>
          <c:cat>
            <c:strRef>
              <c:f>'REK drying 91815'!$X$22:$X$26</c:f>
              <c:strCache>
                <c:ptCount val="5"/>
                <c:pt idx="0">
                  <c:v> no vacuum, LiCl</c:v>
                </c:pt>
                <c:pt idx="1">
                  <c:v>with vacuum, LiCl</c:v>
                </c:pt>
                <c:pt idx="2">
                  <c:v>with vacuum, LiCl high cell conc</c:v>
                </c:pt>
                <c:pt idx="3">
                  <c:v>with vacuum, drierite</c:v>
                </c:pt>
                <c:pt idx="4">
                  <c:v>with vacuum, CaCl</c:v>
                </c:pt>
              </c:strCache>
            </c:strRef>
          </c:cat>
          <c:val>
            <c:numRef>
              <c:f>'REK drying 91815'!$Y$22:$Y$26</c:f>
              <c:numCache>
                <c:formatCode>General</c:formatCode>
                <c:ptCount val="5"/>
                <c:pt idx="0">
                  <c:v>1309.155617293661</c:v>
                </c:pt>
                <c:pt idx="1">
                  <c:v>920.99937836945571</c:v>
                </c:pt>
                <c:pt idx="2">
                  <c:v>903.67054604439681</c:v>
                </c:pt>
                <c:pt idx="3">
                  <c:v>1117.9063014157853</c:v>
                </c:pt>
                <c:pt idx="4">
                  <c:v>1204.3581003963993</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220781680"/>
        <c:axId val="-220781136"/>
      </c:barChart>
      <c:catAx>
        <c:axId val="-220781680"/>
        <c:scaling>
          <c:orientation val="minMax"/>
        </c:scaling>
        <c:delete val="0"/>
        <c:axPos val="b"/>
        <c:numFmt formatCode="General" sourceLinked="1"/>
        <c:majorTickMark val="cross"/>
        <c:minorTickMark val="cross"/>
        <c:tickLblPos val="nextTo"/>
        <c:txPr>
          <a:bodyPr/>
          <a:lstStyle/>
          <a:p>
            <a:pPr lvl="0">
              <a:defRPr/>
            </a:pPr>
            <a:endParaRPr lang="en-US"/>
          </a:p>
        </c:txPr>
        <c:crossAx val="-220781136"/>
        <c:crosses val="autoZero"/>
        <c:auto val="1"/>
        <c:lblAlgn val="ctr"/>
        <c:lblOffset val="100"/>
        <c:noMultiLvlLbl val="1"/>
      </c:catAx>
      <c:valAx>
        <c:axId val="-220781136"/>
        <c:scaling>
          <c:orientation val="minMax"/>
          <c:min val="0"/>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220781680"/>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a:solidFill>
                  <a:srgbClr val="000000"/>
                </a:solidFill>
              </a:defRPr>
            </a:pPr>
            <a:r>
              <a:t>Water residue VS. Drying time for 3MM paper</a:t>
            </a:r>
          </a:p>
        </c:rich>
      </c:tx>
      <c:overlay val="0"/>
    </c:title>
    <c:autoTitleDeleted val="0"/>
    <c:plotArea>
      <c:layout/>
      <c:scatterChart>
        <c:scatterStyle val="lineMarker"/>
        <c:varyColors val="1"/>
        <c:ser>
          <c:idx val="0"/>
          <c:order val="0"/>
          <c:tx>
            <c:strRef>
              <c:f>'JW 12315'!$L$24</c:f>
              <c:strCache>
                <c:ptCount val="1"/>
                <c:pt idx="0">
                  <c:v>Experimental D(gwater/gcell)</c:v>
                </c:pt>
              </c:strCache>
            </c:strRef>
          </c:tx>
          <c:spPr>
            <a:ln w="47625">
              <a:noFill/>
            </a:ln>
          </c:spPr>
          <c:marker>
            <c:symbol val="circle"/>
            <c:size val="7"/>
            <c:spPr>
              <a:solidFill>
                <a:srgbClr val="3366CC"/>
              </a:solidFill>
              <a:ln cmpd="sng">
                <a:solidFill>
                  <a:srgbClr val="3366CC"/>
                </a:solidFill>
              </a:ln>
            </c:spPr>
          </c:marker>
          <c:xVal>
            <c:numRef>
              <c:f>'JW 12315'!$C$25:$C$36</c:f>
              <c:numCache>
                <c:formatCode>General</c:formatCode>
                <c:ptCount val="12"/>
                <c:pt idx="0">
                  <c:v>15</c:v>
                </c:pt>
                <c:pt idx="1">
                  <c:v>15</c:v>
                </c:pt>
                <c:pt idx="2">
                  <c:v>15</c:v>
                </c:pt>
                <c:pt idx="3">
                  <c:v>30</c:v>
                </c:pt>
                <c:pt idx="4">
                  <c:v>30</c:v>
                </c:pt>
                <c:pt idx="5">
                  <c:v>30</c:v>
                </c:pt>
                <c:pt idx="6">
                  <c:v>60</c:v>
                </c:pt>
                <c:pt idx="7">
                  <c:v>60</c:v>
                </c:pt>
                <c:pt idx="8">
                  <c:v>60</c:v>
                </c:pt>
                <c:pt idx="9">
                  <c:v>90</c:v>
                </c:pt>
                <c:pt idx="10">
                  <c:v>90</c:v>
                </c:pt>
                <c:pt idx="11">
                  <c:v>90</c:v>
                </c:pt>
              </c:numCache>
            </c:numRef>
          </c:xVal>
          <c:yVal>
            <c:numRef>
              <c:f>'JW 12315'!$L$25:$L$36</c:f>
              <c:numCache>
                <c:formatCode>General</c:formatCode>
                <c:ptCount val="12"/>
                <c:pt idx="0">
                  <c:v>2.4972182754782137</c:v>
                </c:pt>
                <c:pt idx="2">
                  <c:v>2.2725592135582637</c:v>
                </c:pt>
                <c:pt idx="3">
                  <c:v>1.691719871703065</c:v>
                </c:pt>
                <c:pt idx="4">
                  <c:v>1.8092818630256717</c:v>
                </c:pt>
                <c:pt idx="5">
                  <c:v>1.7771799982468919</c:v>
                </c:pt>
                <c:pt idx="6">
                  <c:v>1.4046312289750602</c:v>
                </c:pt>
                <c:pt idx="7">
                  <c:v>1.5971524317618762</c:v>
                </c:pt>
                <c:pt idx="8">
                  <c:v>1.7581682829632701</c:v>
                </c:pt>
                <c:pt idx="9">
                  <c:v>1.3412245879063922</c:v>
                </c:pt>
                <c:pt idx="10">
                  <c:v>1.4236429442586875</c:v>
                </c:pt>
                <c:pt idx="11">
                  <c:v>1.5087045265580601</c:v>
                </c:pt>
              </c:numCache>
            </c:numRef>
          </c:yVal>
          <c:smooth val="1"/>
        </c:ser>
        <c:ser>
          <c:idx val="1"/>
          <c:order val="1"/>
          <c:tx>
            <c:strRef>
              <c:f>'JW 12315'!$M$24</c:f>
              <c:strCache>
                <c:ptCount val="1"/>
                <c:pt idx="0">
                  <c:v>Calculate D(g/g)</c:v>
                </c:pt>
              </c:strCache>
            </c:strRef>
          </c:tx>
          <c:spPr>
            <a:ln w="47625">
              <a:noFill/>
            </a:ln>
          </c:spPr>
          <c:marker>
            <c:symbol val="circle"/>
            <c:size val="7"/>
            <c:spPr>
              <a:solidFill>
                <a:srgbClr val="DC3912"/>
              </a:solidFill>
              <a:ln cmpd="sng">
                <a:solidFill>
                  <a:srgbClr val="DC3912"/>
                </a:solidFill>
              </a:ln>
            </c:spPr>
          </c:marker>
          <c:xVal>
            <c:numRef>
              <c:f>'JW 12315'!$C$25:$C$36</c:f>
              <c:numCache>
                <c:formatCode>General</c:formatCode>
                <c:ptCount val="12"/>
                <c:pt idx="0">
                  <c:v>15</c:v>
                </c:pt>
                <c:pt idx="1">
                  <c:v>15</c:v>
                </c:pt>
                <c:pt idx="2">
                  <c:v>15</c:v>
                </c:pt>
                <c:pt idx="3">
                  <c:v>30</c:v>
                </c:pt>
                <c:pt idx="4">
                  <c:v>30</c:v>
                </c:pt>
                <c:pt idx="5">
                  <c:v>30</c:v>
                </c:pt>
                <c:pt idx="6">
                  <c:v>60</c:v>
                </c:pt>
                <c:pt idx="7">
                  <c:v>60</c:v>
                </c:pt>
                <c:pt idx="8">
                  <c:v>60</c:v>
                </c:pt>
                <c:pt idx="9">
                  <c:v>90</c:v>
                </c:pt>
                <c:pt idx="10">
                  <c:v>90</c:v>
                </c:pt>
                <c:pt idx="11">
                  <c:v>90</c:v>
                </c:pt>
              </c:numCache>
            </c:numRef>
          </c:xVal>
          <c:yVal>
            <c:numRef>
              <c:f>'JW 12315'!$M$25:$M$36</c:f>
              <c:numCache>
                <c:formatCode>General</c:formatCode>
                <c:ptCount val="12"/>
                <c:pt idx="0">
                  <c:v>4.2700495690015865</c:v>
                </c:pt>
                <c:pt idx="2">
                  <c:v>3.4245788396795542</c:v>
                </c:pt>
                <c:pt idx="3">
                  <c:v>2.5492968635253539</c:v>
                </c:pt>
                <c:pt idx="4">
                  <c:v>2.7264540990473356</c:v>
                </c:pt>
                <c:pt idx="5">
                  <c:v>2.6780789604899851</c:v>
                </c:pt>
                <c:pt idx="6">
                  <c:v>2.1166754888509098</c:v>
                </c:pt>
                <c:pt idx="7">
                  <c:v>2.4067907181131125</c:v>
                </c:pt>
                <c:pt idx="8">
                  <c:v>2.6494297101303599</c:v>
                </c:pt>
                <c:pt idx="9">
                  <c:v>2.0211263652006055</c:v>
                </c:pt>
                <c:pt idx="10">
                  <c:v>2.1453247392105435</c:v>
                </c:pt>
                <c:pt idx="11">
                  <c:v>2.2735062594429643</c:v>
                </c:pt>
              </c:numCache>
            </c:numRef>
          </c:yVal>
          <c:smooth val="1"/>
        </c:ser>
        <c:dLbls>
          <c:showLegendKey val="0"/>
          <c:showVal val="0"/>
          <c:showCatName val="0"/>
          <c:showSerName val="0"/>
          <c:showPercent val="0"/>
          <c:showBubbleSize val="0"/>
        </c:dLbls>
        <c:axId val="-227341664"/>
        <c:axId val="-227332960"/>
      </c:scatterChart>
      <c:valAx>
        <c:axId val="-227341664"/>
        <c:scaling>
          <c:orientation val="minMax"/>
        </c:scaling>
        <c:delete val="0"/>
        <c:axPos val="b"/>
        <c:majorGridlines>
          <c:spPr>
            <a:ln>
              <a:solidFill>
                <a:srgbClr val="B7B7B7"/>
              </a:solidFill>
            </a:ln>
          </c:spPr>
        </c:majorGridlines>
        <c:title>
          <c:tx>
            <c:rich>
              <a:bodyPr/>
              <a:lstStyle/>
              <a:p>
                <a:pPr lvl="0">
                  <a:defRPr/>
                </a:pPr>
                <a:r>
                  <a:t>Time (min)</a:t>
                </a:r>
              </a:p>
            </c:rich>
          </c:tx>
          <c:overlay val="0"/>
        </c:title>
        <c:numFmt formatCode="General" sourceLinked="1"/>
        <c:majorTickMark val="cross"/>
        <c:minorTickMark val="cross"/>
        <c:tickLblPos val="nextTo"/>
        <c:spPr>
          <a:ln w="47625">
            <a:noFill/>
          </a:ln>
        </c:spPr>
        <c:txPr>
          <a:bodyPr/>
          <a:lstStyle/>
          <a:p>
            <a:pPr lvl="0">
              <a:defRPr/>
            </a:pPr>
            <a:endParaRPr lang="en-US"/>
          </a:p>
        </c:txPr>
        <c:crossAx val="-227332960"/>
        <c:crosses val="autoZero"/>
        <c:crossBetween val="midCat"/>
      </c:valAx>
      <c:valAx>
        <c:axId val="-227332960"/>
        <c:scaling>
          <c:orientation val="minMax"/>
        </c:scaling>
        <c:delete val="0"/>
        <c:axPos val="l"/>
        <c:majorGridlines>
          <c:spPr>
            <a:ln>
              <a:solidFill>
                <a:srgbClr val="B7B7B7"/>
              </a:solidFill>
            </a:ln>
          </c:spPr>
        </c:majorGridlines>
        <c:title>
          <c:tx>
            <c:rich>
              <a:bodyPr/>
              <a:lstStyle/>
              <a:p>
                <a:pPr lvl="0">
                  <a:defRPr/>
                </a:pPr>
                <a:r>
                  <a:t>g water/g cell</a:t>
                </a:r>
              </a:p>
            </c:rich>
          </c:tx>
          <c:overlay val="0"/>
        </c:title>
        <c:numFmt formatCode="General" sourceLinked="1"/>
        <c:majorTickMark val="cross"/>
        <c:minorTickMark val="cross"/>
        <c:tickLblPos val="nextTo"/>
        <c:spPr>
          <a:ln w="47625">
            <a:noFill/>
          </a:ln>
        </c:spPr>
        <c:txPr>
          <a:bodyPr/>
          <a:lstStyle/>
          <a:p>
            <a:pPr lvl="0">
              <a:defRPr/>
            </a:pPr>
            <a:endParaRPr lang="en-US"/>
          </a:p>
        </c:txPr>
        <c:crossAx val="-227341664"/>
        <c:crosses val="autoZero"/>
        <c:crossBetween val="midCat"/>
      </c:valAx>
    </c:plotArea>
    <c:legend>
      <c:legendPos val="b"/>
      <c:overlay val="0"/>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a:solidFill>
                  <a:srgbClr val="000000"/>
                </a:solidFill>
              </a:defRPr>
            </a:pPr>
            <a:r>
              <a:t>mins</a:t>
            </a:r>
          </a:p>
        </c:rich>
      </c:tx>
      <c:overlay val="0"/>
    </c:title>
    <c:autoTitleDeleted val="0"/>
    <c:plotArea>
      <c:layout/>
      <c:scatterChart>
        <c:scatterStyle val="lineMarker"/>
        <c:varyColors val="0"/>
        <c:ser>
          <c:idx val="0"/>
          <c:order val="0"/>
          <c:tx>
            <c:strRef>
              <c:f>'NFW Continuous 111215'!$D$1</c:f>
              <c:strCache>
                <c:ptCount val="1"/>
                <c:pt idx="0">
                  <c:v>v/v% CO</c:v>
                </c:pt>
              </c:strCache>
            </c:strRef>
          </c:tx>
          <c:spPr>
            <a:ln w="47625">
              <a:noFill/>
            </a:ln>
          </c:spPr>
          <c:marker>
            <c:symbol val="circle"/>
            <c:size val="7"/>
            <c:spPr>
              <a:solidFill>
                <a:srgbClr val="3366CC"/>
              </a:solidFill>
              <a:ln cmpd="sng">
                <a:solidFill>
                  <a:srgbClr val="3366CC"/>
                </a:solidFill>
              </a:ln>
            </c:spPr>
          </c:marker>
          <c:trendline>
            <c:spPr>
              <a:ln w="19050">
                <a:solidFill>
                  <a:srgbClr val="3366CC">
                    <a:alpha val="40000"/>
                  </a:srgbClr>
                </a:solidFill>
              </a:ln>
            </c:spPr>
            <c:trendlineType val="linear"/>
            <c:dispRSqr val="0"/>
            <c:dispEq val="1"/>
            <c:trendlineLbl>
              <c:numFmt formatCode="General" sourceLinked="0"/>
            </c:trendlineLbl>
          </c:trendline>
          <c:xVal>
            <c:numRef>
              <c:f>'NFW Continuous 111215'!$C$2:$C$1000</c:f>
              <c:numCache>
                <c:formatCode>General</c:formatCode>
                <c:ptCount val="999"/>
                <c:pt idx="0">
                  <c:v>38</c:v>
                </c:pt>
                <c:pt idx="1">
                  <c:v>39</c:v>
                </c:pt>
                <c:pt idx="2">
                  <c:v>40</c:v>
                </c:pt>
                <c:pt idx="3">
                  <c:v>41</c:v>
                </c:pt>
                <c:pt idx="4">
                  <c:v>42</c:v>
                </c:pt>
                <c:pt idx="5">
                  <c:v>43</c:v>
                </c:pt>
                <c:pt idx="6">
                  <c:v>44</c:v>
                </c:pt>
                <c:pt idx="7">
                  <c:v>45</c:v>
                </c:pt>
                <c:pt idx="8">
                  <c:v>46</c:v>
                </c:pt>
                <c:pt idx="9">
                  <c:v>47</c:v>
                </c:pt>
                <c:pt idx="10">
                  <c:v>48</c:v>
                </c:pt>
                <c:pt idx="11">
                  <c:v>49</c:v>
                </c:pt>
                <c:pt idx="12">
                  <c:v>50</c:v>
                </c:pt>
                <c:pt idx="13">
                  <c:v>51</c:v>
                </c:pt>
                <c:pt idx="14">
                  <c:v>52</c:v>
                </c:pt>
                <c:pt idx="15">
                  <c:v>53</c:v>
                </c:pt>
                <c:pt idx="16">
                  <c:v>54</c:v>
                </c:pt>
                <c:pt idx="17">
                  <c:v>55</c:v>
                </c:pt>
                <c:pt idx="18">
                  <c:v>56</c:v>
                </c:pt>
                <c:pt idx="19">
                  <c:v>57</c:v>
                </c:pt>
                <c:pt idx="20">
                  <c:v>58</c:v>
                </c:pt>
                <c:pt idx="21">
                  <c:v>59</c:v>
                </c:pt>
                <c:pt idx="22">
                  <c:v>60</c:v>
                </c:pt>
                <c:pt idx="23">
                  <c:v>61</c:v>
                </c:pt>
                <c:pt idx="24">
                  <c:v>62</c:v>
                </c:pt>
                <c:pt idx="25">
                  <c:v>63</c:v>
                </c:pt>
                <c:pt idx="26">
                  <c:v>64</c:v>
                </c:pt>
                <c:pt idx="27">
                  <c:v>65</c:v>
                </c:pt>
                <c:pt idx="28">
                  <c:v>66</c:v>
                </c:pt>
                <c:pt idx="29">
                  <c:v>67</c:v>
                </c:pt>
                <c:pt idx="30">
                  <c:v>68</c:v>
                </c:pt>
                <c:pt idx="31">
                  <c:v>69</c:v>
                </c:pt>
                <c:pt idx="32">
                  <c:v>70</c:v>
                </c:pt>
                <c:pt idx="33">
                  <c:v>71</c:v>
                </c:pt>
                <c:pt idx="34">
                  <c:v>72</c:v>
                </c:pt>
                <c:pt idx="35">
                  <c:v>73</c:v>
                </c:pt>
                <c:pt idx="36">
                  <c:v>74.02</c:v>
                </c:pt>
                <c:pt idx="37">
                  <c:v>75</c:v>
                </c:pt>
                <c:pt idx="38">
                  <c:v>76</c:v>
                </c:pt>
                <c:pt idx="39">
                  <c:v>77</c:v>
                </c:pt>
                <c:pt idx="40">
                  <c:v>78</c:v>
                </c:pt>
                <c:pt idx="41">
                  <c:v>79</c:v>
                </c:pt>
                <c:pt idx="42">
                  <c:v>80</c:v>
                </c:pt>
                <c:pt idx="43">
                  <c:v>81</c:v>
                </c:pt>
                <c:pt idx="44">
                  <c:v>82</c:v>
                </c:pt>
                <c:pt idx="45">
                  <c:v>83</c:v>
                </c:pt>
                <c:pt idx="46">
                  <c:v>84</c:v>
                </c:pt>
                <c:pt idx="47">
                  <c:v>85</c:v>
                </c:pt>
                <c:pt idx="48">
                  <c:v>86</c:v>
                </c:pt>
                <c:pt idx="49">
                  <c:v>87</c:v>
                </c:pt>
                <c:pt idx="50">
                  <c:v>88</c:v>
                </c:pt>
                <c:pt idx="51">
                  <c:v>89</c:v>
                </c:pt>
                <c:pt idx="52">
                  <c:v>90</c:v>
                </c:pt>
                <c:pt idx="53">
                  <c:v>91</c:v>
                </c:pt>
                <c:pt idx="54">
                  <c:v>92</c:v>
                </c:pt>
                <c:pt idx="55">
                  <c:v>93</c:v>
                </c:pt>
                <c:pt idx="56">
                  <c:v>94</c:v>
                </c:pt>
                <c:pt idx="57">
                  <c:v>95</c:v>
                </c:pt>
                <c:pt idx="58">
                  <c:v>96</c:v>
                </c:pt>
                <c:pt idx="59">
                  <c:v>97</c:v>
                </c:pt>
                <c:pt idx="60">
                  <c:v>98</c:v>
                </c:pt>
                <c:pt idx="61">
                  <c:v>99</c:v>
                </c:pt>
                <c:pt idx="62">
                  <c:v>100</c:v>
                </c:pt>
                <c:pt idx="63">
                  <c:v>101</c:v>
                </c:pt>
                <c:pt idx="64">
                  <c:v>102</c:v>
                </c:pt>
                <c:pt idx="65">
                  <c:v>103</c:v>
                </c:pt>
                <c:pt idx="66">
                  <c:v>104</c:v>
                </c:pt>
                <c:pt idx="67">
                  <c:v>105</c:v>
                </c:pt>
                <c:pt idx="68">
                  <c:v>106</c:v>
                </c:pt>
                <c:pt idx="69">
                  <c:v>107</c:v>
                </c:pt>
                <c:pt idx="70">
                  <c:v>108</c:v>
                </c:pt>
                <c:pt idx="71">
                  <c:v>109</c:v>
                </c:pt>
                <c:pt idx="72">
                  <c:v>110</c:v>
                </c:pt>
                <c:pt idx="73">
                  <c:v>111</c:v>
                </c:pt>
                <c:pt idx="74">
                  <c:v>112</c:v>
                </c:pt>
                <c:pt idx="75">
                  <c:v>113</c:v>
                </c:pt>
                <c:pt idx="76">
                  <c:v>114</c:v>
                </c:pt>
                <c:pt idx="77">
                  <c:v>115</c:v>
                </c:pt>
                <c:pt idx="78">
                  <c:v>116</c:v>
                </c:pt>
                <c:pt idx="79">
                  <c:v>117</c:v>
                </c:pt>
                <c:pt idx="80">
                  <c:v>118</c:v>
                </c:pt>
                <c:pt idx="81">
                  <c:v>119</c:v>
                </c:pt>
                <c:pt idx="82">
                  <c:v>120</c:v>
                </c:pt>
                <c:pt idx="83">
                  <c:v>121</c:v>
                </c:pt>
                <c:pt idx="84">
                  <c:v>122</c:v>
                </c:pt>
                <c:pt idx="85">
                  <c:v>123</c:v>
                </c:pt>
                <c:pt idx="86">
                  <c:v>124</c:v>
                </c:pt>
                <c:pt idx="87">
                  <c:v>125</c:v>
                </c:pt>
                <c:pt idx="88">
                  <c:v>126</c:v>
                </c:pt>
                <c:pt idx="89">
                  <c:v>127</c:v>
                </c:pt>
                <c:pt idx="90">
                  <c:v>128</c:v>
                </c:pt>
                <c:pt idx="91">
                  <c:v>129</c:v>
                </c:pt>
                <c:pt idx="92">
                  <c:v>130</c:v>
                </c:pt>
                <c:pt idx="93">
                  <c:v>131</c:v>
                </c:pt>
                <c:pt idx="94">
                  <c:v>132</c:v>
                </c:pt>
                <c:pt idx="95">
                  <c:v>133</c:v>
                </c:pt>
                <c:pt idx="96">
                  <c:v>134</c:v>
                </c:pt>
                <c:pt idx="97">
                  <c:v>135</c:v>
                </c:pt>
                <c:pt idx="98">
                  <c:v>136</c:v>
                </c:pt>
                <c:pt idx="99">
                  <c:v>137</c:v>
                </c:pt>
                <c:pt idx="100">
                  <c:v>138</c:v>
                </c:pt>
                <c:pt idx="101">
                  <c:v>139</c:v>
                </c:pt>
                <c:pt idx="102">
                  <c:v>140</c:v>
                </c:pt>
                <c:pt idx="103">
                  <c:v>141</c:v>
                </c:pt>
                <c:pt idx="104">
                  <c:v>142</c:v>
                </c:pt>
                <c:pt idx="105">
                  <c:v>143</c:v>
                </c:pt>
                <c:pt idx="106">
                  <c:v>144</c:v>
                </c:pt>
                <c:pt idx="107">
                  <c:v>145</c:v>
                </c:pt>
                <c:pt idx="108">
                  <c:v>146</c:v>
                </c:pt>
                <c:pt idx="109">
                  <c:v>147</c:v>
                </c:pt>
                <c:pt idx="110">
                  <c:v>148.02000000000001</c:v>
                </c:pt>
                <c:pt idx="111">
                  <c:v>149</c:v>
                </c:pt>
                <c:pt idx="112">
                  <c:v>150</c:v>
                </c:pt>
                <c:pt idx="113">
                  <c:v>151</c:v>
                </c:pt>
                <c:pt idx="114">
                  <c:v>152</c:v>
                </c:pt>
                <c:pt idx="115">
                  <c:v>153</c:v>
                </c:pt>
                <c:pt idx="116">
                  <c:v>154</c:v>
                </c:pt>
                <c:pt idx="117">
                  <c:v>155</c:v>
                </c:pt>
                <c:pt idx="118">
                  <c:v>156</c:v>
                </c:pt>
                <c:pt idx="119">
                  <c:v>157</c:v>
                </c:pt>
                <c:pt idx="120">
                  <c:v>158</c:v>
                </c:pt>
                <c:pt idx="121">
                  <c:v>159</c:v>
                </c:pt>
                <c:pt idx="122">
                  <c:v>160</c:v>
                </c:pt>
                <c:pt idx="123">
                  <c:v>161</c:v>
                </c:pt>
                <c:pt idx="124">
                  <c:v>162</c:v>
                </c:pt>
                <c:pt idx="125">
                  <c:v>163</c:v>
                </c:pt>
                <c:pt idx="126">
                  <c:v>164</c:v>
                </c:pt>
                <c:pt idx="127">
                  <c:v>165</c:v>
                </c:pt>
                <c:pt idx="128">
                  <c:v>166</c:v>
                </c:pt>
                <c:pt idx="129">
                  <c:v>167</c:v>
                </c:pt>
                <c:pt idx="130">
                  <c:v>168</c:v>
                </c:pt>
                <c:pt idx="131">
                  <c:v>169</c:v>
                </c:pt>
                <c:pt idx="132">
                  <c:v>170</c:v>
                </c:pt>
                <c:pt idx="133">
                  <c:v>171</c:v>
                </c:pt>
                <c:pt idx="134">
                  <c:v>172</c:v>
                </c:pt>
                <c:pt idx="135">
                  <c:v>173</c:v>
                </c:pt>
                <c:pt idx="136">
                  <c:v>174</c:v>
                </c:pt>
                <c:pt idx="137">
                  <c:v>175</c:v>
                </c:pt>
                <c:pt idx="138">
                  <c:v>176</c:v>
                </c:pt>
                <c:pt idx="139">
                  <c:v>177</c:v>
                </c:pt>
                <c:pt idx="140">
                  <c:v>178</c:v>
                </c:pt>
                <c:pt idx="141">
                  <c:v>179</c:v>
                </c:pt>
                <c:pt idx="142">
                  <c:v>180</c:v>
                </c:pt>
                <c:pt idx="143">
                  <c:v>181</c:v>
                </c:pt>
                <c:pt idx="144">
                  <c:v>182</c:v>
                </c:pt>
                <c:pt idx="145">
                  <c:v>183</c:v>
                </c:pt>
                <c:pt idx="146">
                  <c:v>184</c:v>
                </c:pt>
                <c:pt idx="147">
                  <c:v>185</c:v>
                </c:pt>
                <c:pt idx="148">
                  <c:v>186</c:v>
                </c:pt>
                <c:pt idx="149">
                  <c:v>187</c:v>
                </c:pt>
                <c:pt idx="150">
                  <c:v>188</c:v>
                </c:pt>
                <c:pt idx="151">
                  <c:v>189</c:v>
                </c:pt>
                <c:pt idx="152">
                  <c:v>190</c:v>
                </c:pt>
                <c:pt idx="153">
                  <c:v>191</c:v>
                </c:pt>
                <c:pt idx="154">
                  <c:v>192</c:v>
                </c:pt>
                <c:pt idx="155">
                  <c:v>193</c:v>
                </c:pt>
                <c:pt idx="156">
                  <c:v>194</c:v>
                </c:pt>
                <c:pt idx="157">
                  <c:v>195</c:v>
                </c:pt>
                <c:pt idx="158">
                  <c:v>196</c:v>
                </c:pt>
                <c:pt idx="159">
                  <c:v>197</c:v>
                </c:pt>
                <c:pt idx="160">
                  <c:v>198</c:v>
                </c:pt>
                <c:pt idx="161">
                  <c:v>199</c:v>
                </c:pt>
                <c:pt idx="162">
                  <c:v>200</c:v>
                </c:pt>
                <c:pt idx="163">
                  <c:v>201</c:v>
                </c:pt>
                <c:pt idx="164">
                  <c:v>202</c:v>
                </c:pt>
                <c:pt idx="165">
                  <c:v>203</c:v>
                </c:pt>
                <c:pt idx="166">
                  <c:v>204</c:v>
                </c:pt>
                <c:pt idx="167">
                  <c:v>205</c:v>
                </c:pt>
                <c:pt idx="168">
                  <c:v>206</c:v>
                </c:pt>
                <c:pt idx="169">
                  <c:v>207</c:v>
                </c:pt>
                <c:pt idx="170">
                  <c:v>208</c:v>
                </c:pt>
                <c:pt idx="171">
                  <c:v>209</c:v>
                </c:pt>
                <c:pt idx="172">
                  <c:v>210</c:v>
                </c:pt>
                <c:pt idx="173">
                  <c:v>211</c:v>
                </c:pt>
                <c:pt idx="174">
                  <c:v>212</c:v>
                </c:pt>
                <c:pt idx="175">
                  <c:v>213</c:v>
                </c:pt>
                <c:pt idx="176">
                  <c:v>214</c:v>
                </c:pt>
                <c:pt idx="177">
                  <c:v>215</c:v>
                </c:pt>
                <c:pt idx="178">
                  <c:v>216</c:v>
                </c:pt>
                <c:pt idx="179">
                  <c:v>217</c:v>
                </c:pt>
                <c:pt idx="180">
                  <c:v>218</c:v>
                </c:pt>
                <c:pt idx="181">
                  <c:v>219</c:v>
                </c:pt>
                <c:pt idx="182">
                  <c:v>220</c:v>
                </c:pt>
                <c:pt idx="183">
                  <c:v>221</c:v>
                </c:pt>
                <c:pt idx="184">
                  <c:v>222.02</c:v>
                </c:pt>
                <c:pt idx="185">
                  <c:v>223</c:v>
                </c:pt>
                <c:pt idx="186">
                  <c:v>224</c:v>
                </c:pt>
                <c:pt idx="187">
                  <c:v>225</c:v>
                </c:pt>
                <c:pt idx="188">
                  <c:v>226</c:v>
                </c:pt>
                <c:pt idx="189">
                  <c:v>227</c:v>
                </c:pt>
                <c:pt idx="190">
                  <c:v>228</c:v>
                </c:pt>
                <c:pt idx="191">
                  <c:v>229</c:v>
                </c:pt>
                <c:pt idx="192">
                  <c:v>230</c:v>
                </c:pt>
                <c:pt idx="193">
                  <c:v>231</c:v>
                </c:pt>
                <c:pt idx="194">
                  <c:v>232</c:v>
                </c:pt>
                <c:pt idx="195">
                  <c:v>233</c:v>
                </c:pt>
                <c:pt idx="196">
                  <c:v>234</c:v>
                </c:pt>
                <c:pt idx="197">
                  <c:v>235</c:v>
                </c:pt>
                <c:pt idx="198">
                  <c:v>236</c:v>
                </c:pt>
                <c:pt idx="199">
                  <c:v>237</c:v>
                </c:pt>
                <c:pt idx="200">
                  <c:v>238</c:v>
                </c:pt>
                <c:pt idx="201">
                  <c:v>239</c:v>
                </c:pt>
                <c:pt idx="202">
                  <c:v>240</c:v>
                </c:pt>
                <c:pt idx="203">
                  <c:v>241</c:v>
                </c:pt>
                <c:pt idx="204">
                  <c:v>242</c:v>
                </c:pt>
                <c:pt idx="205">
                  <c:v>243</c:v>
                </c:pt>
                <c:pt idx="206">
                  <c:v>244</c:v>
                </c:pt>
                <c:pt idx="207">
                  <c:v>245</c:v>
                </c:pt>
                <c:pt idx="208">
                  <c:v>246</c:v>
                </c:pt>
                <c:pt idx="209">
                  <c:v>247</c:v>
                </c:pt>
                <c:pt idx="210">
                  <c:v>248</c:v>
                </c:pt>
                <c:pt idx="211">
                  <c:v>249</c:v>
                </c:pt>
                <c:pt idx="212">
                  <c:v>250</c:v>
                </c:pt>
                <c:pt idx="213">
                  <c:v>251</c:v>
                </c:pt>
                <c:pt idx="214">
                  <c:v>252</c:v>
                </c:pt>
                <c:pt idx="215">
                  <c:v>253</c:v>
                </c:pt>
                <c:pt idx="216">
                  <c:v>254</c:v>
                </c:pt>
                <c:pt idx="217">
                  <c:v>255</c:v>
                </c:pt>
                <c:pt idx="218">
                  <c:v>256</c:v>
                </c:pt>
                <c:pt idx="219">
                  <c:v>257</c:v>
                </c:pt>
                <c:pt idx="220">
                  <c:v>258</c:v>
                </c:pt>
                <c:pt idx="221">
                  <c:v>259</c:v>
                </c:pt>
                <c:pt idx="222">
                  <c:v>260</c:v>
                </c:pt>
                <c:pt idx="223">
                  <c:v>261</c:v>
                </c:pt>
                <c:pt idx="224">
                  <c:v>262</c:v>
                </c:pt>
                <c:pt idx="225">
                  <c:v>263</c:v>
                </c:pt>
                <c:pt idx="226">
                  <c:v>264</c:v>
                </c:pt>
                <c:pt idx="227">
                  <c:v>265</c:v>
                </c:pt>
                <c:pt idx="228">
                  <c:v>266</c:v>
                </c:pt>
                <c:pt idx="229">
                  <c:v>267</c:v>
                </c:pt>
                <c:pt idx="230">
                  <c:v>268</c:v>
                </c:pt>
                <c:pt idx="231">
                  <c:v>269</c:v>
                </c:pt>
                <c:pt idx="232">
                  <c:v>270</c:v>
                </c:pt>
                <c:pt idx="233">
                  <c:v>271</c:v>
                </c:pt>
                <c:pt idx="234">
                  <c:v>272</c:v>
                </c:pt>
                <c:pt idx="235">
                  <c:v>273</c:v>
                </c:pt>
              </c:numCache>
            </c:numRef>
          </c:xVal>
          <c:yVal>
            <c:numRef>
              <c:f>'NFW Continuous 111215'!$D$2:$D$1000</c:f>
              <c:numCache>
                <c:formatCode>General</c:formatCode>
                <c:ptCount val="999"/>
                <c:pt idx="0">
                  <c:v>85.978999999999999</c:v>
                </c:pt>
                <c:pt idx="1">
                  <c:v>86.230999999999995</c:v>
                </c:pt>
                <c:pt idx="2">
                  <c:v>86.122</c:v>
                </c:pt>
                <c:pt idx="3">
                  <c:v>86.62</c:v>
                </c:pt>
                <c:pt idx="4">
                  <c:v>86.224999999999994</c:v>
                </c:pt>
                <c:pt idx="5">
                  <c:v>86.929000000000002</c:v>
                </c:pt>
                <c:pt idx="6">
                  <c:v>86.781000000000006</c:v>
                </c:pt>
                <c:pt idx="7">
                  <c:v>86.164000000000001</c:v>
                </c:pt>
                <c:pt idx="8">
                  <c:v>86.061999999999998</c:v>
                </c:pt>
                <c:pt idx="9">
                  <c:v>86.619</c:v>
                </c:pt>
                <c:pt idx="10">
                  <c:v>86.084000000000003</c:v>
                </c:pt>
                <c:pt idx="11">
                  <c:v>86.539000000000001</c:v>
                </c:pt>
                <c:pt idx="12">
                  <c:v>86.322999999999993</c:v>
                </c:pt>
                <c:pt idx="13">
                  <c:v>86.138000000000005</c:v>
                </c:pt>
                <c:pt idx="14">
                  <c:v>86.119</c:v>
                </c:pt>
                <c:pt idx="15">
                  <c:v>86.027000000000001</c:v>
                </c:pt>
                <c:pt idx="16">
                  <c:v>86.498999999999995</c:v>
                </c:pt>
                <c:pt idx="17">
                  <c:v>86.2</c:v>
                </c:pt>
                <c:pt idx="18">
                  <c:v>86.17</c:v>
                </c:pt>
                <c:pt idx="19">
                  <c:v>86.296000000000006</c:v>
                </c:pt>
                <c:pt idx="20">
                  <c:v>86.575999999999993</c:v>
                </c:pt>
                <c:pt idx="21">
                  <c:v>85.765000000000001</c:v>
                </c:pt>
                <c:pt idx="22">
                  <c:v>85.936999999999998</c:v>
                </c:pt>
                <c:pt idx="23">
                  <c:v>86.325999999999993</c:v>
                </c:pt>
                <c:pt idx="24">
                  <c:v>85.944999999999993</c:v>
                </c:pt>
                <c:pt idx="25">
                  <c:v>85.905000000000001</c:v>
                </c:pt>
                <c:pt idx="26">
                  <c:v>85.688999999999993</c:v>
                </c:pt>
                <c:pt idx="27">
                  <c:v>86.064999999999998</c:v>
                </c:pt>
                <c:pt idx="28">
                  <c:v>86.114000000000004</c:v>
                </c:pt>
                <c:pt idx="29">
                  <c:v>85.923000000000002</c:v>
                </c:pt>
                <c:pt idx="30">
                  <c:v>86.239000000000004</c:v>
                </c:pt>
                <c:pt idx="31">
                  <c:v>85.921999999999997</c:v>
                </c:pt>
                <c:pt idx="32">
                  <c:v>85.403999999999996</c:v>
                </c:pt>
                <c:pt idx="33">
                  <c:v>86.103999999999999</c:v>
                </c:pt>
                <c:pt idx="34">
                  <c:v>85.878</c:v>
                </c:pt>
                <c:pt idx="35">
                  <c:v>85.942999999999998</c:v>
                </c:pt>
                <c:pt idx="36">
                  <c:v>86.031999999999996</c:v>
                </c:pt>
                <c:pt idx="37">
                  <c:v>85.703999999999994</c:v>
                </c:pt>
                <c:pt idx="38">
                  <c:v>86.144999999999996</c:v>
                </c:pt>
                <c:pt idx="39">
                  <c:v>85.715999999999994</c:v>
                </c:pt>
                <c:pt idx="40">
                  <c:v>86.043000000000006</c:v>
                </c:pt>
                <c:pt idx="41">
                  <c:v>85.706999999999994</c:v>
                </c:pt>
                <c:pt idx="42">
                  <c:v>85.736999999999995</c:v>
                </c:pt>
                <c:pt idx="43">
                  <c:v>85.198999999999998</c:v>
                </c:pt>
                <c:pt idx="44">
                  <c:v>85.4</c:v>
                </c:pt>
                <c:pt idx="45">
                  <c:v>85.605000000000004</c:v>
                </c:pt>
                <c:pt idx="46">
                  <c:v>85.712999999999994</c:v>
                </c:pt>
                <c:pt idx="47">
                  <c:v>85.302000000000007</c:v>
                </c:pt>
                <c:pt idx="48">
                  <c:v>85.68</c:v>
                </c:pt>
                <c:pt idx="49">
                  <c:v>85.265000000000001</c:v>
                </c:pt>
                <c:pt idx="50">
                  <c:v>85.680999999999997</c:v>
                </c:pt>
                <c:pt idx="51">
                  <c:v>85.474000000000004</c:v>
                </c:pt>
                <c:pt idx="52">
                  <c:v>85.721999999999994</c:v>
                </c:pt>
                <c:pt idx="53">
                  <c:v>85.418000000000006</c:v>
                </c:pt>
                <c:pt idx="54">
                  <c:v>85.49</c:v>
                </c:pt>
                <c:pt idx="55">
                  <c:v>85.284000000000006</c:v>
                </c:pt>
                <c:pt idx="56">
                  <c:v>85.393000000000001</c:v>
                </c:pt>
                <c:pt idx="57">
                  <c:v>86.135999999999996</c:v>
                </c:pt>
                <c:pt idx="58">
                  <c:v>85.641000000000005</c:v>
                </c:pt>
                <c:pt idx="59">
                  <c:v>85.51</c:v>
                </c:pt>
                <c:pt idx="60">
                  <c:v>85.656999999999996</c:v>
                </c:pt>
                <c:pt idx="61">
                  <c:v>85.691000000000003</c:v>
                </c:pt>
                <c:pt idx="62">
                  <c:v>85.381</c:v>
                </c:pt>
                <c:pt idx="63">
                  <c:v>85.533000000000001</c:v>
                </c:pt>
                <c:pt idx="64">
                  <c:v>85.697000000000003</c:v>
                </c:pt>
                <c:pt idx="65">
                  <c:v>85.105000000000004</c:v>
                </c:pt>
                <c:pt idx="66">
                  <c:v>84.991</c:v>
                </c:pt>
                <c:pt idx="67">
                  <c:v>84.671999999999997</c:v>
                </c:pt>
                <c:pt idx="68">
                  <c:v>85.013000000000005</c:v>
                </c:pt>
                <c:pt idx="69">
                  <c:v>84.875</c:v>
                </c:pt>
                <c:pt idx="70">
                  <c:v>84.584000000000003</c:v>
                </c:pt>
                <c:pt idx="71">
                  <c:v>85.054000000000002</c:v>
                </c:pt>
                <c:pt idx="72">
                  <c:v>84.605000000000004</c:v>
                </c:pt>
                <c:pt idx="73">
                  <c:v>84.572999999999993</c:v>
                </c:pt>
                <c:pt idx="74">
                  <c:v>84.161000000000001</c:v>
                </c:pt>
                <c:pt idx="75">
                  <c:v>84.272000000000006</c:v>
                </c:pt>
                <c:pt idx="76">
                  <c:v>84.664000000000001</c:v>
                </c:pt>
                <c:pt idx="77">
                  <c:v>84.46</c:v>
                </c:pt>
                <c:pt idx="78">
                  <c:v>84.578000000000003</c:v>
                </c:pt>
                <c:pt idx="79">
                  <c:v>84.748999999999995</c:v>
                </c:pt>
                <c:pt idx="80">
                  <c:v>84.834000000000003</c:v>
                </c:pt>
                <c:pt idx="81">
                  <c:v>84.668999999999997</c:v>
                </c:pt>
                <c:pt idx="82">
                  <c:v>84.677000000000007</c:v>
                </c:pt>
                <c:pt idx="83">
                  <c:v>84.587000000000003</c:v>
                </c:pt>
                <c:pt idx="84">
                  <c:v>84.771000000000001</c:v>
                </c:pt>
                <c:pt idx="85">
                  <c:v>84.245000000000005</c:v>
                </c:pt>
                <c:pt idx="86">
                  <c:v>84.388000000000005</c:v>
                </c:pt>
                <c:pt idx="87">
                  <c:v>84.146000000000001</c:v>
                </c:pt>
                <c:pt idx="88">
                  <c:v>84.245000000000005</c:v>
                </c:pt>
                <c:pt idx="89">
                  <c:v>84.066999999999993</c:v>
                </c:pt>
                <c:pt idx="90">
                  <c:v>83.950999999999993</c:v>
                </c:pt>
                <c:pt idx="91">
                  <c:v>83.78</c:v>
                </c:pt>
                <c:pt idx="92">
                  <c:v>83.957999999999998</c:v>
                </c:pt>
                <c:pt idx="93">
                  <c:v>83.528999999999996</c:v>
                </c:pt>
                <c:pt idx="94">
                  <c:v>83.644999999999996</c:v>
                </c:pt>
                <c:pt idx="95">
                  <c:v>83.677999999999997</c:v>
                </c:pt>
                <c:pt idx="96">
                  <c:v>83.66</c:v>
                </c:pt>
                <c:pt idx="97">
                  <c:v>83.707999999999998</c:v>
                </c:pt>
                <c:pt idx="98">
                  <c:v>83.646000000000001</c:v>
                </c:pt>
                <c:pt idx="99">
                  <c:v>83.138000000000005</c:v>
                </c:pt>
                <c:pt idx="100">
                  <c:v>83.769000000000005</c:v>
                </c:pt>
                <c:pt idx="101">
                  <c:v>83.721999999999994</c:v>
                </c:pt>
                <c:pt idx="102">
                  <c:v>83.311999999999998</c:v>
                </c:pt>
                <c:pt idx="103">
                  <c:v>83.647999999999996</c:v>
                </c:pt>
                <c:pt idx="104">
                  <c:v>83.414000000000001</c:v>
                </c:pt>
                <c:pt idx="105">
                  <c:v>83.608999999999995</c:v>
                </c:pt>
                <c:pt idx="106">
                  <c:v>83.406000000000006</c:v>
                </c:pt>
                <c:pt idx="107">
                  <c:v>83.22</c:v>
                </c:pt>
                <c:pt idx="108">
                  <c:v>83.203999999999994</c:v>
                </c:pt>
                <c:pt idx="109">
                  <c:v>83.272999999999996</c:v>
                </c:pt>
                <c:pt idx="110">
                  <c:v>83.525999999999996</c:v>
                </c:pt>
                <c:pt idx="111">
                  <c:v>82.914000000000001</c:v>
                </c:pt>
                <c:pt idx="112">
                  <c:v>83.356999999999999</c:v>
                </c:pt>
                <c:pt idx="113">
                  <c:v>82.656999999999996</c:v>
                </c:pt>
                <c:pt idx="114">
                  <c:v>82.427999999999997</c:v>
                </c:pt>
                <c:pt idx="115">
                  <c:v>82.259</c:v>
                </c:pt>
                <c:pt idx="116">
                  <c:v>81.744</c:v>
                </c:pt>
                <c:pt idx="117">
                  <c:v>81.850999999999999</c:v>
                </c:pt>
                <c:pt idx="118">
                  <c:v>81.893000000000001</c:v>
                </c:pt>
                <c:pt idx="119">
                  <c:v>82.022000000000006</c:v>
                </c:pt>
                <c:pt idx="120">
                  <c:v>81.486000000000004</c:v>
                </c:pt>
                <c:pt idx="121">
                  <c:v>81.665000000000006</c:v>
                </c:pt>
                <c:pt idx="122">
                  <c:v>81.366</c:v>
                </c:pt>
                <c:pt idx="123">
                  <c:v>81.314999999999998</c:v>
                </c:pt>
                <c:pt idx="124">
                  <c:v>81.563000000000002</c:v>
                </c:pt>
                <c:pt idx="125">
                  <c:v>81.807000000000002</c:v>
                </c:pt>
                <c:pt idx="126">
                  <c:v>81.674000000000007</c:v>
                </c:pt>
                <c:pt idx="127">
                  <c:v>81.459999999999994</c:v>
                </c:pt>
                <c:pt idx="128">
                  <c:v>81.787000000000006</c:v>
                </c:pt>
                <c:pt idx="129">
                  <c:v>81.516000000000005</c:v>
                </c:pt>
                <c:pt idx="130">
                  <c:v>81.304000000000002</c:v>
                </c:pt>
                <c:pt idx="131">
                  <c:v>81.247</c:v>
                </c:pt>
                <c:pt idx="132">
                  <c:v>81.137</c:v>
                </c:pt>
                <c:pt idx="133">
                  <c:v>81.366</c:v>
                </c:pt>
                <c:pt idx="134">
                  <c:v>81.573999999999998</c:v>
                </c:pt>
                <c:pt idx="135">
                  <c:v>81.733000000000004</c:v>
                </c:pt>
                <c:pt idx="136">
                  <c:v>81.192999999999998</c:v>
                </c:pt>
                <c:pt idx="137">
                  <c:v>81.182000000000002</c:v>
                </c:pt>
                <c:pt idx="138">
                  <c:v>81.331999999999994</c:v>
                </c:pt>
                <c:pt idx="139">
                  <c:v>80.912000000000006</c:v>
                </c:pt>
                <c:pt idx="140">
                  <c:v>81.122</c:v>
                </c:pt>
                <c:pt idx="141">
                  <c:v>81.346999999999994</c:v>
                </c:pt>
                <c:pt idx="142">
                  <c:v>81.019000000000005</c:v>
                </c:pt>
                <c:pt idx="143">
                  <c:v>81.106999999999999</c:v>
                </c:pt>
                <c:pt idx="144">
                  <c:v>81.271000000000001</c:v>
                </c:pt>
                <c:pt idx="145">
                  <c:v>81.161000000000001</c:v>
                </c:pt>
                <c:pt idx="146">
                  <c:v>80.847999999999999</c:v>
                </c:pt>
                <c:pt idx="147">
                  <c:v>80.558000000000007</c:v>
                </c:pt>
                <c:pt idx="148">
                  <c:v>80.813000000000002</c:v>
                </c:pt>
                <c:pt idx="149">
                  <c:v>81.043999999999997</c:v>
                </c:pt>
                <c:pt idx="150">
                  <c:v>80.433000000000007</c:v>
                </c:pt>
                <c:pt idx="151">
                  <c:v>80.713999999999999</c:v>
                </c:pt>
                <c:pt idx="152">
                  <c:v>80.73</c:v>
                </c:pt>
                <c:pt idx="153">
                  <c:v>80.798000000000002</c:v>
                </c:pt>
                <c:pt idx="154">
                  <c:v>80.417000000000002</c:v>
                </c:pt>
                <c:pt idx="155">
                  <c:v>80.658000000000001</c:v>
                </c:pt>
                <c:pt idx="156">
                  <c:v>80.62</c:v>
                </c:pt>
                <c:pt idx="157">
                  <c:v>80.671000000000006</c:v>
                </c:pt>
                <c:pt idx="158">
                  <c:v>80.388999999999996</c:v>
                </c:pt>
                <c:pt idx="159">
                  <c:v>80.897999999999996</c:v>
                </c:pt>
                <c:pt idx="160">
                  <c:v>80.614999999999995</c:v>
                </c:pt>
                <c:pt idx="161">
                  <c:v>80.367000000000004</c:v>
                </c:pt>
                <c:pt idx="162">
                  <c:v>80.099999999999994</c:v>
                </c:pt>
                <c:pt idx="163">
                  <c:v>80.352000000000004</c:v>
                </c:pt>
                <c:pt idx="164">
                  <c:v>80.757000000000005</c:v>
                </c:pt>
                <c:pt idx="165">
                  <c:v>80.27</c:v>
                </c:pt>
                <c:pt idx="166">
                  <c:v>80.58</c:v>
                </c:pt>
                <c:pt idx="167">
                  <c:v>80.206999999999994</c:v>
                </c:pt>
                <c:pt idx="168">
                  <c:v>79.844999999999999</c:v>
                </c:pt>
                <c:pt idx="169">
                  <c:v>80.275999999999996</c:v>
                </c:pt>
                <c:pt idx="170">
                  <c:v>79.885000000000005</c:v>
                </c:pt>
                <c:pt idx="171">
                  <c:v>80.031000000000006</c:v>
                </c:pt>
                <c:pt idx="172">
                  <c:v>79.590999999999994</c:v>
                </c:pt>
                <c:pt idx="173">
                  <c:v>79.412000000000006</c:v>
                </c:pt>
                <c:pt idx="174">
                  <c:v>79.712000000000003</c:v>
                </c:pt>
                <c:pt idx="175">
                  <c:v>79.391000000000005</c:v>
                </c:pt>
                <c:pt idx="176">
                  <c:v>79.206000000000003</c:v>
                </c:pt>
                <c:pt idx="177">
                  <c:v>79.518000000000001</c:v>
                </c:pt>
                <c:pt idx="178">
                  <c:v>79.373999999999995</c:v>
                </c:pt>
                <c:pt idx="179">
                  <c:v>79.471000000000004</c:v>
                </c:pt>
                <c:pt idx="180">
                  <c:v>78.8</c:v>
                </c:pt>
                <c:pt idx="181">
                  <c:v>78.899000000000001</c:v>
                </c:pt>
                <c:pt idx="182">
                  <c:v>78.808000000000007</c:v>
                </c:pt>
                <c:pt idx="183">
                  <c:v>78.756</c:v>
                </c:pt>
                <c:pt idx="184">
                  <c:v>78.742999999999995</c:v>
                </c:pt>
                <c:pt idx="185">
                  <c:v>78.927000000000007</c:v>
                </c:pt>
                <c:pt idx="186">
                  <c:v>78.834000000000003</c:v>
                </c:pt>
                <c:pt idx="187">
                  <c:v>78.536000000000001</c:v>
                </c:pt>
                <c:pt idx="188">
                  <c:v>78.652000000000001</c:v>
                </c:pt>
                <c:pt idx="189">
                  <c:v>78.677000000000007</c:v>
                </c:pt>
                <c:pt idx="190">
                  <c:v>78.283000000000001</c:v>
                </c:pt>
                <c:pt idx="191">
                  <c:v>78.489000000000004</c:v>
                </c:pt>
                <c:pt idx="192">
                  <c:v>78.465000000000003</c:v>
                </c:pt>
                <c:pt idx="193">
                  <c:v>78.697000000000003</c:v>
                </c:pt>
                <c:pt idx="194">
                  <c:v>78.62</c:v>
                </c:pt>
                <c:pt idx="195">
                  <c:v>78.165999999999997</c:v>
                </c:pt>
                <c:pt idx="196">
                  <c:v>78.19</c:v>
                </c:pt>
                <c:pt idx="197">
                  <c:v>78.156000000000006</c:v>
                </c:pt>
                <c:pt idx="198">
                  <c:v>78.022000000000006</c:v>
                </c:pt>
                <c:pt idx="199">
                  <c:v>78.132000000000005</c:v>
                </c:pt>
                <c:pt idx="200">
                  <c:v>78.337000000000003</c:v>
                </c:pt>
                <c:pt idx="201">
                  <c:v>77.968000000000004</c:v>
                </c:pt>
                <c:pt idx="202">
                  <c:v>78.084999999999994</c:v>
                </c:pt>
                <c:pt idx="203">
                  <c:v>78.161000000000001</c:v>
                </c:pt>
                <c:pt idx="204">
                  <c:v>78.122</c:v>
                </c:pt>
                <c:pt idx="205">
                  <c:v>78.164000000000001</c:v>
                </c:pt>
                <c:pt idx="206">
                  <c:v>78.132000000000005</c:v>
                </c:pt>
                <c:pt idx="207">
                  <c:v>77.888999999999996</c:v>
                </c:pt>
                <c:pt idx="208">
                  <c:v>77.903999999999996</c:v>
                </c:pt>
                <c:pt idx="209">
                  <c:v>77.978999999999999</c:v>
                </c:pt>
                <c:pt idx="210">
                  <c:v>77.674999999999997</c:v>
                </c:pt>
                <c:pt idx="211">
                  <c:v>78.024000000000001</c:v>
                </c:pt>
                <c:pt idx="212">
                  <c:v>77.959999999999994</c:v>
                </c:pt>
                <c:pt idx="213">
                  <c:v>77.379000000000005</c:v>
                </c:pt>
                <c:pt idx="214">
                  <c:v>77.727000000000004</c:v>
                </c:pt>
                <c:pt idx="215">
                  <c:v>77.561000000000007</c:v>
                </c:pt>
                <c:pt idx="216">
                  <c:v>77.875</c:v>
                </c:pt>
                <c:pt idx="217">
                  <c:v>77.903000000000006</c:v>
                </c:pt>
                <c:pt idx="218">
                  <c:v>77.986999999999995</c:v>
                </c:pt>
                <c:pt idx="219">
                  <c:v>77.62</c:v>
                </c:pt>
                <c:pt idx="220">
                  <c:v>77.543000000000006</c:v>
                </c:pt>
                <c:pt idx="221">
                  <c:v>77.16</c:v>
                </c:pt>
                <c:pt idx="222">
                  <c:v>77.450999999999993</c:v>
                </c:pt>
                <c:pt idx="223">
                  <c:v>77.212999999999994</c:v>
                </c:pt>
                <c:pt idx="224">
                  <c:v>77.652000000000001</c:v>
                </c:pt>
                <c:pt idx="225">
                  <c:v>77.430000000000007</c:v>
                </c:pt>
                <c:pt idx="226">
                  <c:v>77.56</c:v>
                </c:pt>
                <c:pt idx="227">
                  <c:v>77.100999999999999</c:v>
                </c:pt>
                <c:pt idx="228">
                  <c:v>77.480999999999995</c:v>
                </c:pt>
                <c:pt idx="229">
                  <c:v>77.355999999999995</c:v>
                </c:pt>
                <c:pt idx="230">
                  <c:v>77.400000000000006</c:v>
                </c:pt>
                <c:pt idx="231">
                  <c:v>77.602000000000004</c:v>
                </c:pt>
                <c:pt idx="232">
                  <c:v>77.204999999999998</c:v>
                </c:pt>
                <c:pt idx="233">
                  <c:v>77.003</c:v>
                </c:pt>
                <c:pt idx="234">
                  <c:v>77.180000000000007</c:v>
                </c:pt>
                <c:pt idx="235">
                  <c:v>76.623000000000005</c:v>
                </c:pt>
              </c:numCache>
            </c:numRef>
          </c:yVal>
          <c:smooth val="1"/>
        </c:ser>
        <c:dLbls>
          <c:showLegendKey val="0"/>
          <c:showVal val="0"/>
          <c:showCatName val="0"/>
          <c:showSerName val="0"/>
          <c:showPercent val="0"/>
          <c:showBubbleSize val="0"/>
        </c:dLbls>
        <c:axId val="-227331872"/>
        <c:axId val="-227346016"/>
      </c:scatterChart>
      <c:valAx>
        <c:axId val="-227331872"/>
        <c:scaling>
          <c:orientation val="minMax"/>
        </c:scaling>
        <c:delete val="0"/>
        <c:axPos val="b"/>
        <c:majorGridlines>
          <c:spPr>
            <a:ln>
              <a:solidFill>
                <a:srgbClr val="B7B7B7"/>
              </a:solidFill>
            </a:ln>
          </c:spPr>
        </c:majorGridlines>
        <c:title>
          <c:tx>
            <c:rich>
              <a:bodyPr/>
              <a:lstStyle/>
              <a:p>
                <a:pPr lvl="0">
                  <a:defRPr/>
                </a:pPr>
                <a:r>
                  <a:t>Time (min)</a:t>
                </a:r>
              </a:p>
            </c:rich>
          </c:tx>
          <c:overlay val="0"/>
        </c:title>
        <c:numFmt formatCode="General" sourceLinked="1"/>
        <c:majorTickMark val="cross"/>
        <c:minorTickMark val="cross"/>
        <c:tickLblPos val="nextTo"/>
        <c:spPr>
          <a:ln w="47625">
            <a:noFill/>
          </a:ln>
        </c:spPr>
        <c:txPr>
          <a:bodyPr/>
          <a:lstStyle/>
          <a:p>
            <a:pPr lvl="0">
              <a:defRPr/>
            </a:pPr>
            <a:endParaRPr lang="en-US"/>
          </a:p>
        </c:txPr>
        <c:crossAx val="-227346016"/>
        <c:crosses val="autoZero"/>
        <c:crossBetween val="midCat"/>
      </c:valAx>
      <c:valAx>
        <c:axId val="-227346016"/>
        <c:scaling>
          <c:orientation val="minMax"/>
        </c:scaling>
        <c:delete val="0"/>
        <c:axPos val="l"/>
        <c:majorGridlines>
          <c:spPr>
            <a:ln>
              <a:solidFill>
                <a:srgbClr val="B7B7B7"/>
              </a:solidFill>
            </a:ln>
          </c:spPr>
        </c:majorGridlines>
        <c:title>
          <c:tx>
            <c:rich>
              <a:bodyPr/>
              <a:lstStyle/>
              <a:p>
                <a:pPr lvl="0">
                  <a:defRPr/>
                </a:pPr>
                <a:r>
                  <a:t>CO v/v%</a:t>
                </a:r>
              </a:p>
            </c:rich>
          </c:tx>
          <c:overlay val="0"/>
        </c:title>
        <c:numFmt formatCode="General" sourceLinked="1"/>
        <c:majorTickMark val="cross"/>
        <c:minorTickMark val="cross"/>
        <c:tickLblPos val="nextTo"/>
        <c:spPr>
          <a:ln w="47625">
            <a:noFill/>
          </a:ln>
        </c:spPr>
        <c:txPr>
          <a:bodyPr/>
          <a:lstStyle/>
          <a:p>
            <a:pPr lvl="0">
              <a:defRPr/>
            </a:pPr>
            <a:endParaRPr lang="en-US"/>
          </a:p>
        </c:txPr>
        <c:crossAx val="-227331872"/>
        <c:crosses val="autoZero"/>
        <c:crossBetween val="midCat"/>
      </c:valAx>
    </c:plotArea>
    <c:legend>
      <c:legendPos val="r"/>
      <c:overlay val="0"/>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scatterChart>
        <c:scatterStyle val="lineMarker"/>
        <c:varyColors val="0"/>
        <c:ser>
          <c:idx val="0"/>
          <c:order val="0"/>
          <c:spPr>
            <a:ln w="47625">
              <a:noFill/>
            </a:ln>
          </c:spPr>
          <c:marker>
            <c:symbol val="circle"/>
            <c:size val="7"/>
            <c:spPr>
              <a:solidFill>
                <a:srgbClr val="3366CC"/>
              </a:solidFill>
              <a:ln cmpd="sng">
                <a:solidFill>
                  <a:srgbClr val="3366CC"/>
                </a:solidFill>
              </a:ln>
            </c:spPr>
          </c:marker>
          <c:trendline>
            <c:spPr>
              <a:ln w="19050">
                <a:solidFill>
                  <a:srgbClr val="3366CC">
                    <a:alpha val="40000"/>
                  </a:srgbClr>
                </a:solidFill>
              </a:ln>
            </c:spPr>
            <c:trendlineType val="linear"/>
            <c:dispRSqr val="1"/>
            <c:dispEq val="1"/>
            <c:trendlineLbl>
              <c:numFmt formatCode="General" sourceLinked="0"/>
            </c:trendlineLbl>
          </c:trendline>
          <c:xVal>
            <c:numRef>
              <c:f>'MRR Parity 111615'!$A$4:$A$7</c:f>
              <c:numCache>
                <c:formatCode>General</c:formatCode>
                <c:ptCount val="4"/>
                <c:pt idx="0">
                  <c:v>56</c:v>
                </c:pt>
                <c:pt idx="1">
                  <c:v>71</c:v>
                </c:pt>
                <c:pt idx="2">
                  <c:v>87</c:v>
                </c:pt>
                <c:pt idx="3">
                  <c:v>114</c:v>
                </c:pt>
              </c:numCache>
            </c:numRef>
          </c:xVal>
          <c:yVal>
            <c:numRef>
              <c:f>'MRR Parity 111615'!$B$4:$B$7</c:f>
              <c:numCache>
                <c:formatCode>General</c:formatCode>
                <c:ptCount val="4"/>
                <c:pt idx="0">
                  <c:v>1.32</c:v>
                </c:pt>
                <c:pt idx="1">
                  <c:v>1.45</c:v>
                </c:pt>
                <c:pt idx="2">
                  <c:v>1.68</c:v>
                </c:pt>
                <c:pt idx="3">
                  <c:v>1.87</c:v>
                </c:pt>
              </c:numCache>
            </c:numRef>
          </c:yVal>
          <c:smooth val="1"/>
        </c:ser>
        <c:dLbls>
          <c:showLegendKey val="0"/>
          <c:showVal val="0"/>
          <c:showCatName val="0"/>
          <c:showSerName val="0"/>
          <c:showPercent val="0"/>
          <c:showBubbleSize val="0"/>
        </c:dLbls>
        <c:axId val="-227340032"/>
        <c:axId val="-227344928"/>
      </c:scatterChart>
      <c:valAx>
        <c:axId val="-227340032"/>
        <c:scaling>
          <c:orientation val="minMax"/>
        </c:scaling>
        <c:delete val="0"/>
        <c:axPos val="b"/>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227344928"/>
        <c:crosses val="autoZero"/>
        <c:crossBetween val="midCat"/>
      </c:valAx>
      <c:valAx>
        <c:axId val="-227344928"/>
        <c:scaling>
          <c:orientation val="minMax"/>
          <c:min val="0"/>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227340032"/>
        <c:crosses val="autoZero"/>
        <c:crossBetween val="midCat"/>
      </c:valAx>
    </c:plotArea>
    <c:legend>
      <c:legendPos val="r"/>
      <c:overlay val="0"/>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a:solidFill>
                  <a:srgbClr val="000000"/>
                </a:solidFill>
              </a:defRPr>
            </a:pPr>
            <a:r>
              <a:t>Chart title</a:t>
            </a:r>
          </a:p>
        </c:rich>
      </c:tx>
      <c:overlay val="0"/>
    </c:title>
    <c:autoTitleDeleted val="0"/>
    <c:plotArea>
      <c:layout/>
      <c:barChart>
        <c:barDir val="col"/>
        <c:grouping val="clustered"/>
        <c:varyColors val="1"/>
        <c:ser>
          <c:idx val="0"/>
          <c:order val="0"/>
          <c:spPr>
            <a:solidFill>
              <a:srgbClr val="3366CC"/>
            </a:solidFill>
          </c:spPr>
          <c:invertIfNegative val="1"/>
          <c:dLbls>
            <c:spPr>
              <a:noFill/>
              <a:ln>
                <a:noFill/>
              </a:ln>
              <a:effectLst/>
            </c:spPr>
            <c:txPr>
              <a:bodyPr/>
              <a:lstStyle/>
              <a:p>
                <a:pPr lvl="0">
                  <a:defRPr b="0"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('JW 11515'!$A$14:$N$14,'JW 11515'!$A$38:$N$38)</c:f>
              <c:numCache>
                <c:formatCode>General</c:formatCode>
                <c:ptCount val="28"/>
                <c:pt idx="1">
                  <c:v>0</c:v>
                </c:pt>
                <c:pt idx="2">
                  <c:v>0</c:v>
                </c:pt>
                <c:pt idx="5">
                  <c:v>0</c:v>
                </c:pt>
                <c:pt idx="8">
                  <c:v>0</c:v>
                </c:pt>
                <c:pt idx="11">
                  <c:v>0</c:v>
                </c:pt>
                <c:pt idx="14">
                  <c:v>0</c:v>
                </c:pt>
                <c:pt idx="15">
                  <c:v>27.54820936639118</c:v>
                </c:pt>
                <c:pt idx="16">
                  <c:v>3.1374349556167656</c:v>
                </c:pt>
                <c:pt idx="19">
                  <c:v>2.6553412917049219</c:v>
                </c:pt>
                <c:pt idx="22">
                  <c:v>1.1861034588307282</c:v>
                </c:pt>
                <c:pt idx="25">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227336768"/>
        <c:axId val="-227344384"/>
      </c:barChart>
      <c:catAx>
        <c:axId val="-227336768"/>
        <c:scaling>
          <c:orientation val="minMax"/>
        </c:scaling>
        <c:delete val="0"/>
        <c:axPos val="b"/>
        <c:majorTickMark val="cross"/>
        <c:minorTickMark val="cross"/>
        <c:tickLblPos val="nextTo"/>
        <c:txPr>
          <a:bodyPr/>
          <a:lstStyle/>
          <a:p>
            <a:pPr lvl="0">
              <a:defRPr/>
            </a:pPr>
            <a:endParaRPr lang="en-US"/>
          </a:p>
        </c:txPr>
        <c:crossAx val="-227344384"/>
        <c:crosses val="autoZero"/>
        <c:auto val="1"/>
        <c:lblAlgn val="ctr"/>
        <c:lblOffset val="100"/>
        <c:noMultiLvlLbl val="1"/>
      </c:catAx>
      <c:valAx>
        <c:axId val="-227344384"/>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227336768"/>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a:solidFill>
                  <a:srgbClr val="000000"/>
                </a:solidFill>
              </a:defRPr>
            </a:pPr>
            <a:r>
              <a:t>Cell coating and Water</a:t>
            </a:r>
          </a:p>
        </c:rich>
      </c:tx>
      <c:overlay val="0"/>
    </c:title>
    <c:autoTitleDeleted val="0"/>
    <c:plotArea>
      <c:layout/>
      <c:barChart>
        <c:barDir val="col"/>
        <c:grouping val="clustered"/>
        <c:varyColors val="1"/>
        <c:ser>
          <c:idx val="0"/>
          <c:order val="0"/>
          <c:tx>
            <c:strRef>
              <c:f>'drying calib JW 11315'!$B$45</c:f>
              <c:strCache>
                <c:ptCount val="1"/>
              </c:strCache>
            </c:strRef>
          </c:tx>
          <c:spPr>
            <a:solidFill>
              <a:srgbClr val="3366CC"/>
            </a:solidFill>
          </c:spPr>
          <c:invertIfNegative val="1"/>
          <c:dLbls>
            <c:spPr>
              <a:noFill/>
              <a:ln>
                <a:noFill/>
              </a:ln>
              <a:effectLst/>
            </c:spPr>
            <c:txPr>
              <a:bodyPr/>
              <a:lstStyle/>
              <a:p>
                <a:pPr lvl="0">
                  <a:defRPr b="0"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'drying calib JW 11315'!$A$46:$A$49</c:f>
              <c:strCache>
                <c:ptCount val="4"/>
                <c:pt idx="0">
                  <c:v>15min vacuum</c:v>
                </c:pt>
                <c:pt idx="1">
                  <c:v>30min vacuum</c:v>
                </c:pt>
                <c:pt idx="2">
                  <c:v>30min oven</c:v>
                </c:pt>
                <c:pt idx="3">
                  <c:v>60min oven</c:v>
                </c:pt>
              </c:strCache>
            </c:strRef>
          </c:cat>
          <c:val>
            <c:numRef>
              <c:f>'drying calib JW 11315'!$B$46:$B$49</c:f>
              <c:numCache>
                <c:formatCode>General</c:formatCode>
                <c:ptCount val="4"/>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tx>
            <c:strRef>
              <c:f>'drying calib JW 11315'!$C$45</c:f>
              <c:strCache>
                <c:ptCount val="1"/>
                <c:pt idx="0">
                  <c:v>Cell coating</c:v>
                </c:pt>
              </c:strCache>
            </c:strRef>
          </c:tx>
          <c:spPr>
            <a:solidFill>
              <a:srgbClr val="DC3912"/>
            </a:solidFill>
          </c:spPr>
          <c:invertIfNegative val="1"/>
          <c:dLbls>
            <c:spPr>
              <a:noFill/>
              <a:ln>
                <a:noFill/>
              </a:ln>
              <a:effectLst/>
            </c:spPr>
            <c:txPr>
              <a:bodyPr/>
              <a:lstStyle/>
              <a:p>
                <a:pPr lvl="0">
                  <a:defRPr b="0"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'drying calib JW 11315'!$A$46:$A$49</c:f>
              <c:strCache>
                <c:ptCount val="4"/>
                <c:pt idx="0">
                  <c:v>15min vacuum</c:v>
                </c:pt>
                <c:pt idx="1">
                  <c:v>30min vacuum</c:v>
                </c:pt>
                <c:pt idx="2">
                  <c:v>30min oven</c:v>
                </c:pt>
                <c:pt idx="3">
                  <c:v>60min oven</c:v>
                </c:pt>
              </c:strCache>
            </c:strRef>
          </c:cat>
          <c:val>
            <c:numRef>
              <c:f>'drying calib JW 11315'!$C$46:$C$49</c:f>
              <c:numCache>
                <c:formatCode>General</c:formatCode>
                <c:ptCount val="4"/>
                <c:pt idx="0">
                  <c:v>9.5700000000000049E-2</c:v>
                </c:pt>
                <c:pt idx="1">
                  <c:v>0.10403333333333335</c:v>
                </c:pt>
                <c:pt idx="2">
                  <c:v>0.11756666666666664</c:v>
                </c:pt>
                <c:pt idx="3">
                  <c:v>0.11946666666666665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2"/>
          <c:order val="2"/>
          <c:tx>
            <c:strRef>
              <c:f>'drying calib JW 11315'!$D$45</c:f>
              <c:strCache>
                <c:ptCount val="1"/>
                <c:pt idx="0">
                  <c:v>Water</c:v>
                </c:pt>
              </c:strCache>
            </c:strRef>
          </c:tx>
          <c:spPr>
            <a:solidFill>
              <a:srgbClr val="FF9900"/>
            </a:solidFill>
          </c:spPr>
          <c:invertIfNegative val="1"/>
          <c:cat>
            <c:strRef>
              <c:f>'drying calib JW 11315'!$A$46:$A$49</c:f>
              <c:strCache>
                <c:ptCount val="4"/>
                <c:pt idx="0">
                  <c:v>15min vacuum</c:v>
                </c:pt>
                <c:pt idx="1">
                  <c:v>30min vacuum</c:v>
                </c:pt>
                <c:pt idx="2">
                  <c:v>30min oven</c:v>
                </c:pt>
                <c:pt idx="3">
                  <c:v>60min oven</c:v>
                </c:pt>
              </c:strCache>
            </c:strRef>
          </c:cat>
          <c:val>
            <c:numRef>
              <c:f>'drying calib JW 11315'!$D$46:$D$49</c:f>
              <c:numCache>
                <c:formatCode>General</c:formatCode>
                <c:ptCount val="4"/>
                <c:pt idx="0">
                  <c:v>0.10546666666666667</c:v>
                </c:pt>
                <c:pt idx="1">
                  <c:v>0.11303333333333336</c:v>
                </c:pt>
                <c:pt idx="2">
                  <c:v>0.12543333333333331</c:v>
                </c:pt>
                <c:pt idx="3">
                  <c:v>0.12563333333333335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227334048"/>
        <c:axId val="-227333504"/>
      </c:barChart>
      <c:catAx>
        <c:axId val="-227334048"/>
        <c:scaling>
          <c:orientation val="minMax"/>
        </c:scaling>
        <c:delete val="0"/>
        <c:axPos val="b"/>
        <c:title>
          <c:tx>
            <c:rich>
              <a:bodyPr/>
              <a:lstStyle/>
              <a:p>
                <a:pPr lvl="0">
                  <a:defRPr/>
                </a:pPr>
                <a:r>
                  <a:t>type of drying</a:t>
                </a:r>
              </a:p>
            </c:rich>
          </c:tx>
          <c:overlay val="0"/>
        </c:title>
        <c:numFmt formatCode="General" sourceLinked="1"/>
        <c:majorTickMark val="cross"/>
        <c:minorTickMark val="cross"/>
        <c:tickLblPos val="nextTo"/>
        <c:txPr>
          <a:bodyPr/>
          <a:lstStyle/>
          <a:p>
            <a:pPr lvl="0">
              <a:defRPr/>
            </a:pPr>
            <a:endParaRPr lang="en-US"/>
          </a:p>
        </c:txPr>
        <c:crossAx val="-227333504"/>
        <c:crosses val="autoZero"/>
        <c:auto val="1"/>
        <c:lblAlgn val="ctr"/>
        <c:lblOffset val="100"/>
        <c:noMultiLvlLbl val="1"/>
      </c:catAx>
      <c:valAx>
        <c:axId val="-227333504"/>
        <c:scaling>
          <c:orientation val="minMax"/>
          <c:min val="0"/>
        </c:scaling>
        <c:delete val="0"/>
        <c:axPos val="l"/>
        <c:majorGridlines>
          <c:spPr>
            <a:ln>
              <a:solidFill>
                <a:srgbClr val="B7B7B7"/>
              </a:solidFill>
            </a:ln>
          </c:spPr>
        </c:majorGridlines>
        <c:title>
          <c:tx>
            <c:rich>
              <a:bodyPr/>
              <a:lstStyle/>
              <a:p>
                <a:pPr lvl="0">
                  <a:defRPr/>
                </a:pPr>
                <a:r>
                  <a:t>water loss (g)</a:t>
                </a:r>
              </a:p>
            </c:rich>
          </c:tx>
          <c:overlay val="0"/>
        </c:title>
        <c:numFmt formatCode="General" sourceLinked="1"/>
        <c:majorTickMark val="cross"/>
        <c:minorTickMark val="cross"/>
        <c:tickLblPos val="nextTo"/>
        <c:spPr>
          <a:ln w="47625">
            <a:noFill/>
          </a:ln>
        </c:spPr>
        <c:txPr>
          <a:bodyPr/>
          <a:lstStyle/>
          <a:p>
            <a:pPr lvl="0">
              <a:defRPr/>
            </a:pPr>
            <a:endParaRPr lang="en-US"/>
          </a:p>
        </c:txPr>
        <c:crossAx val="-227334048"/>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a:solidFill>
                  <a:srgbClr val="000000"/>
                </a:solidFill>
              </a:defRPr>
            </a:pPr>
            <a:r>
              <a:t>residual water for cell coating during drying</a:t>
            </a:r>
          </a:p>
        </c:rich>
      </c:tx>
      <c:overlay val="0"/>
    </c:title>
    <c:autoTitleDeleted val="0"/>
    <c:plotArea>
      <c:layout/>
      <c:barChart>
        <c:barDir val="col"/>
        <c:grouping val="clustered"/>
        <c:varyColors val="1"/>
        <c:ser>
          <c:idx val="0"/>
          <c:order val="0"/>
          <c:tx>
            <c:strRef>
              <c:f>'drying calib JW 11315'!$A$36</c:f>
              <c:strCache>
                <c:ptCount val="1"/>
                <c:pt idx="0">
                  <c:v>gwater/gcell</c:v>
                </c:pt>
              </c:strCache>
            </c:strRef>
          </c:tx>
          <c:spPr>
            <a:solidFill>
              <a:srgbClr val="3366CC"/>
            </a:solidFill>
          </c:spPr>
          <c:invertIfNegative val="1"/>
          <c:val>
            <c:numRef>
              <c:f>'drying calib JW 11315'!$B$36:$Z$36</c:f>
              <c:numCache>
                <c:formatCode>General</c:formatCode>
                <c:ptCount val="25"/>
                <c:pt idx="0">
                  <c:v>27.54820936639118</c:v>
                </c:pt>
                <c:pt idx="1">
                  <c:v>5.4943373125191304</c:v>
                </c:pt>
                <c:pt idx="4">
                  <c:v>2.7012549739822482</c:v>
                </c:pt>
                <c:pt idx="7">
                  <c:v>0.43617998163452998</c:v>
                </c:pt>
                <c:pt idx="1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220787120"/>
        <c:axId val="-220788752"/>
      </c:barChart>
      <c:lineChart>
        <c:grouping val="standard"/>
        <c:varyColors val="0"/>
        <c:ser>
          <c:idx val="1"/>
          <c:order val="1"/>
          <c:tx>
            <c:strRef>
              <c:f>'drying calib JW 11315'!$A$14</c:f>
              <c:strCache>
                <c:ptCount val="1"/>
              </c:strCache>
            </c:strRef>
          </c:tx>
          <c:spPr>
            <a:ln w="25400" cmpd="sng">
              <a:solidFill>
                <a:srgbClr val="DC3912"/>
              </a:solidFill>
            </a:ln>
          </c:spPr>
          <c:marker>
            <c:symbol val="none"/>
          </c:marker>
          <c:val>
            <c:numRef>
              <c:f>'drying calib JW 11315'!$B$14:$Z$14</c:f>
              <c:numCache>
                <c:formatCode>General</c:formatCode>
                <c:ptCount val="25"/>
                <c:pt idx="0">
                  <c:v>0</c:v>
                </c:pt>
                <c:pt idx="1">
                  <c:v>0</c:v>
                </c:pt>
                <c:pt idx="4">
                  <c:v>0</c:v>
                </c:pt>
                <c:pt idx="7">
                  <c:v>0</c:v>
                </c:pt>
                <c:pt idx="10">
                  <c:v>0</c:v>
                </c:pt>
              </c:numCache>
            </c:numRef>
          </c:val>
          <c:smooth val="0"/>
        </c:ser>
        <c:dLbls>
          <c:showLegendKey val="0"/>
          <c:showVal val="0"/>
          <c:showCatName val="0"/>
          <c:showSerName val="0"/>
          <c:showPercent val="0"/>
          <c:showBubbleSize val="0"/>
        </c:dLbls>
        <c:marker val="1"/>
        <c:smooth val="0"/>
        <c:axId val="-220787120"/>
        <c:axId val="-220788752"/>
      </c:lineChart>
      <c:catAx>
        <c:axId val="-220787120"/>
        <c:scaling>
          <c:orientation val="minMax"/>
        </c:scaling>
        <c:delete val="0"/>
        <c:axPos val="b"/>
        <c:title>
          <c:tx>
            <c:rich>
              <a:bodyPr/>
              <a:lstStyle/>
              <a:p>
                <a:pPr lvl="0">
                  <a:defRPr/>
                </a:pPr>
                <a:r>
                  <a:t>Drying time and methods</a:t>
                </a:r>
              </a:p>
            </c:rich>
          </c:tx>
          <c:overlay val="0"/>
        </c:title>
        <c:majorTickMark val="cross"/>
        <c:minorTickMark val="cross"/>
        <c:tickLblPos val="nextTo"/>
        <c:txPr>
          <a:bodyPr/>
          <a:lstStyle/>
          <a:p>
            <a:pPr lvl="0">
              <a:defRPr/>
            </a:pPr>
            <a:endParaRPr lang="en-US"/>
          </a:p>
        </c:txPr>
        <c:crossAx val="-220788752"/>
        <c:crosses val="autoZero"/>
        <c:auto val="1"/>
        <c:lblAlgn val="ctr"/>
        <c:lblOffset val="100"/>
        <c:noMultiLvlLbl val="1"/>
      </c:catAx>
      <c:valAx>
        <c:axId val="-220788752"/>
        <c:scaling>
          <c:orientation val="minMax"/>
          <c:max val="5"/>
        </c:scaling>
        <c:delete val="0"/>
        <c:axPos val="l"/>
        <c:majorGridlines>
          <c:spPr>
            <a:ln>
              <a:solidFill>
                <a:srgbClr val="B7B7B7"/>
              </a:solidFill>
            </a:ln>
          </c:spPr>
        </c:majorGridlines>
        <c:title>
          <c:tx>
            <c:rich>
              <a:bodyPr/>
              <a:lstStyle/>
              <a:p>
                <a:pPr lvl="0">
                  <a:defRPr/>
                </a:pPr>
                <a:r>
                  <a:t>residual water (water/gcell)</a:t>
                </a:r>
              </a:p>
            </c:rich>
          </c:tx>
          <c:overlay val="0"/>
        </c:title>
        <c:numFmt formatCode="General" sourceLinked="1"/>
        <c:majorTickMark val="cross"/>
        <c:minorTickMark val="cross"/>
        <c:tickLblPos val="nextTo"/>
        <c:spPr>
          <a:ln w="47625">
            <a:noFill/>
          </a:ln>
        </c:spPr>
        <c:txPr>
          <a:bodyPr/>
          <a:lstStyle/>
          <a:p>
            <a:pPr lvl="0">
              <a:defRPr/>
            </a:pPr>
            <a:endParaRPr lang="en-US"/>
          </a:p>
        </c:txPr>
        <c:crossAx val="-220787120"/>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manualLayout>
          <c:xMode val="edge"/>
          <c:yMode val="edge"/>
          <c:x val="0.19626000000000002"/>
          <c:y val="4.301E-2"/>
          <c:w val="0.61785999999999996"/>
          <c:h val="0.85561000000000009"/>
        </c:manualLayout>
      </c:layout>
      <c:scatterChart>
        <c:scatterStyle val="lineMarker"/>
        <c:varyColors val="1"/>
        <c:ser>
          <c:idx val="0"/>
          <c:order val="0"/>
          <c:spPr>
            <a:ln w="47625">
              <a:noFill/>
            </a:ln>
          </c:spPr>
          <c:marker>
            <c:symbol val="circle"/>
            <c:size val="10"/>
            <c:spPr>
              <a:solidFill>
                <a:srgbClr val="3366CC"/>
              </a:solidFill>
              <a:ln cmpd="sng">
                <a:solidFill>
                  <a:srgbClr val="3366CC"/>
                </a:solidFill>
              </a:ln>
            </c:spPr>
          </c:marker>
          <c:xVal>
            <c:numRef>
              <c:f>'JBW water losing on paper 10221'!$D$3:$D$5</c:f>
              <c:numCache>
                <c:formatCode>General</c:formatCode>
                <c:ptCount val="3"/>
                <c:pt idx="0">
                  <c:v>15</c:v>
                </c:pt>
                <c:pt idx="1">
                  <c:v>30</c:v>
                </c:pt>
                <c:pt idx="2">
                  <c:v>60</c:v>
                </c:pt>
              </c:numCache>
            </c:numRef>
          </c:xVal>
          <c:yVal>
            <c:numRef>
              <c:f>'JBW water losing on paper 10221'!$E$3:$E$5</c:f>
              <c:numCache>
                <c:formatCode>General</c:formatCode>
                <c:ptCount val="3"/>
                <c:pt idx="0">
                  <c:v>8.0800000000000038E-2</c:v>
                </c:pt>
                <c:pt idx="1">
                  <c:v>1.0000000000000009E-3</c:v>
                </c:pt>
                <c:pt idx="2">
                  <c:v>-2.5000000000000022E-3</c:v>
                </c:pt>
              </c:numCache>
            </c:numRef>
          </c:yVal>
          <c:smooth val="1"/>
        </c:ser>
        <c:ser>
          <c:idx val="1"/>
          <c:order val="1"/>
          <c:spPr>
            <a:ln w="47625">
              <a:noFill/>
            </a:ln>
          </c:spPr>
          <c:marker>
            <c:symbol val="circle"/>
            <c:size val="10"/>
            <c:spPr>
              <a:solidFill>
                <a:srgbClr val="DC3912"/>
              </a:solidFill>
              <a:ln cmpd="sng">
                <a:solidFill>
                  <a:srgbClr val="DC3912"/>
                </a:solidFill>
              </a:ln>
            </c:spPr>
          </c:marker>
          <c:xVal>
            <c:numRef>
              <c:f>'JBW water losing on paper 10221'!$D$3:$D$5</c:f>
              <c:numCache>
                <c:formatCode>General</c:formatCode>
                <c:ptCount val="3"/>
                <c:pt idx="0">
                  <c:v>15</c:v>
                </c:pt>
                <c:pt idx="1">
                  <c:v>30</c:v>
                </c:pt>
                <c:pt idx="2">
                  <c:v>60</c:v>
                </c:pt>
              </c:numCache>
            </c:numRef>
          </c:xVal>
          <c:yVal>
            <c:numRef>
              <c:f>'JBW water losing on paper 10221'!$E$6:$E$8</c:f>
              <c:numCache>
                <c:formatCode>General</c:formatCode>
                <c:ptCount val="3"/>
                <c:pt idx="0">
                  <c:v>2.7900000000000036E-2</c:v>
                </c:pt>
                <c:pt idx="1">
                  <c:v>-7.9999999999999516E-4</c:v>
                </c:pt>
                <c:pt idx="2">
                  <c:v>-6.0000000000001719E-4</c:v>
                </c:pt>
              </c:numCache>
            </c:numRef>
          </c:yVal>
          <c:smooth val="1"/>
        </c:ser>
        <c:ser>
          <c:idx val="2"/>
          <c:order val="2"/>
          <c:spPr>
            <a:ln w="47625">
              <a:noFill/>
            </a:ln>
          </c:spPr>
          <c:marker>
            <c:symbol val="circle"/>
            <c:size val="2"/>
            <c:spPr>
              <a:solidFill>
                <a:srgbClr val="4A86E8"/>
              </a:solidFill>
              <a:ln cmpd="sng">
                <a:solidFill>
                  <a:srgbClr val="4A86E8"/>
                </a:solidFill>
              </a:ln>
            </c:spPr>
          </c:marker>
          <c:xVal>
            <c:numRef>
              <c:f>'JBW water losing on paper 10221'!$D$3:$D$5</c:f>
              <c:numCache>
                <c:formatCode>General</c:formatCode>
                <c:ptCount val="3"/>
                <c:pt idx="0">
                  <c:v>15</c:v>
                </c:pt>
                <c:pt idx="1">
                  <c:v>30</c:v>
                </c:pt>
                <c:pt idx="2">
                  <c:v>60</c:v>
                </c:pt>
              </c:numCache>
            </c:numRef>
          </c:xVal>
          <c:yVal>
            <c:numRef>
              <c:f>'JBW water losing on paper 10221'!$G$3:$G$5</c:f>
              <c:numCache>
                <c:formatCode>General</c:formatCode>
                <c:ptCount val="3"/>
                <c:pt idx="0">
                  <c:v>-9.7999999999999997E-3</c:v>
                </c:pt>
                <c:pt idx="1">
                  <c:v>-9.7999999999999997E-3</c:v>
                </c:pt>
                <c:pt idx="2">
                  <c:v>-9.7999999999999997E-3</c:v>
                </c:pt>
              </c:numCache>
            </c:numRef>
          </c:yVal>
          <c:smooth val="1"/>
        </c:ser>
        <c:ser>
          <c:idx val="3"/>
          <c:order val="3"/>
          <c:spPr>
            <a:ln w="47625">
              <a:noFill/>
            </a:ln>
          </c:spPr>
          <c:marker>
            <c:symbol val="circle"/>
            <c:size val="2"/>
            <c:spPr>
              <a:solidFill>
                <a:srgbClr val="FF0000"/>
              </a:solidFill>
              <a:ln cmpd="sng">
                <a:solidFill>
                  <a:srgbClr val="FF0000"/>
                </a:solidFill>
              </a:ln>
            </c:spPr>
          </c:marker>
          <c:xVal>
            <c:numRef>
              <c:f>'JBW water losing on paper 10221'!$D$3:$D$5</c:f>
              <c:numCache>
                <c:formatCode>General</c:formatCode>
                <c:ptCount val="3"/>
                <c:pt idx="0">
                  <c:v>15</c:v>
                </c:pt>
                <c:pt idx="1">
                  <c:v>30</c:v>
                </c:pt>
                <c:pt idx="2">
                  <c:v>60</c:v>
                </c:pt>
              </c:numCache>
            </c:numRef>
          </c:xVal>
          <c:yVal>
            <c:numRef>
              <c:f>'JBW water losing on paper 10221'!$G$6:$G$8</c:f>
              <c:numCache>
                <c:formatCode>General</c:formatCode>
                <c:ptCount val="3"/>
                <c:pt idx="0">
                  <c:v>-2.2000000000000001E-3</c:v>
                </c:pt>
                <c:pt idx="1">
                  <c:v>-2.2000000000000001E-3</c:v>
                </c:pt>
                <c:pt idx="2">
                  <c:v>-2.2000000000000001E-3</c:v>
                </c:pt>
              </c:numCache>
            </c:numRef>
          </c:yVal>
          <c:smooth val="1"/>
        </c:ser>
        <c:dLbls>
          <c:showLegendKey val="0"/>
          <c:showVal val="0"/>
          <c:showCatName val="0"/>
          <c:showSerName val="0"/>
          <c:showPercent val="0"/>
          <c:showBubbleSize val="0"/>
        </c:dLbls>
        <c:axId val="-220788208"/>
        <c:axId val="-220787664"/>
      </c:scatterChart>
      <c:valAx>
        <c:axId val="-220788208"/>
        <c:scaling>
          <c:orientation val="minMax"/>
        </c:scaling>
        <c:delete val="0"/>
        <c:axPos val="b"/>
        <c:majorGridlines>
          <c:spPr>
            <a:ln>
              <a:solidFill>
                <a:srgbClr val="B7B7B7"/>
              </a:solidFill>
            </a:ln>
          </c:spPr>
        </c:majorGridlines>
        <c:title>
          <c:tx>
            <c:rich>
              <a:bodyPr/>
              <a:lstStyle/>
              <a:p>
                <a:pPr lvl="0">
                  <a:defRPr/>
                </a:pPr>
                <a:r>
                  <a:t>time (min)</a:t>
                </a:r>
              </a:p>
            </c:rich>
          </c:tx>
          <c:overlay val="0"/>
        </c:title>
        <c:numFmt formatCode="General" sourceLinked="1"/>
        <c:majorTickMark val="cross"/>
        <c:minorTickMark val="cross"/>
        <c:tickLblPos val="nextTo"/>
        <c:spPr>
          <a:ln w="47625">
            <a:noFill/>
          </a:ln>
        </c:spPr>
        <c:txPr>
          <a:bodyPr/>
          <a:lstStyle/>
          <a:p>
            <a:pPr lvl="0">
              <a:defRPr/>
            </a:pPr>
            <a:endParaRPr lang="en-US"/>
          </a:p>
        </c:txPr>
        <c:crossAx val="-220787664"/>
        <c:crosses val="autoZero"/>
        <c:crossBetween val="midCat"/>
      </c:valAx>
      <c:valAx>
        <c:axId val="-220787664"/>
        <c:scaling>
          <c:orientation val="minMax"/>
        </c:scaling>
        <c:delete val="0"/>
        <c:axPos val="l"/>
        <c:majorGridlines>
          <c:spPr>
            <a:ln>
              <a:solidFill>
                <a:srgbClr val="B7B7B7"/>
              </a:solidFill>
            </a:ln>
          </c:spPr>
        </c:majorGridlines>
        <c:title>
          <c:tx>
            <c:rich>
              <a:bodyPr/>
              <a:lstStyle/>
              <a:p>
                <a:pPr lvl="0">
                  <a:defRPr/>
                </a:pPr>
                <a:r>
                  <a:t>remaining water (g)</a:t>
                </a:r>
              </a:p>
            </c:rich>
          </c:tx>
          <c:overlay val="0"/>
        </c:title>
        <c:numFmt formatCode="General" sourceLinked="1"/>
        <c:majorTickMark val="cross"/>
        <c:minorTickMark val="cross"/>
        <c:tickLblPos val="nextTo"/>
        <c:spPr>
          <a:ln w="47625">
            <a:noFill/>
          </a:ln>
        </c:spPr>
        <c:txPr>
          <a:bodyPr/>
          <a:lstStyle/>
          <a:p>
            <a:pPr lvl="0">
              <a:defRPr/>
            </a:pPr>
            <a:endParaRPr lang="en-US"/>
          </a:p>
        </c:txPr>
        <c:crossAx val="-220788208"/>
        <c:crosses val="autoZero"/>
        <c:crossBetween val="midCat"/>
      </c:valAx>
    </c:plotArea>
    <c:legend>
      <c:legendPos val="r"/>
      <c:overlay val="0"/>
      <c:txPr>
        <a:bodyPr/>
        <a:lstStyle/>
        <a:p>
          <a:pPr lvl="0">
            <a:defRPr sz="1200">
              <a:solidFill>
                <a:srgbClr val="222222"/>
              </a:solidFill>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a:pPr>
            <a:r>
              <a:t>Liquid product</a:t>
            </a:r>
          </a:p>
        </c:rich>
      </c:tx>
      <c:overlay val="0"/>
    </c:title>
    <c:autoTitleDeleted val="0"/>
    <c:plotArea>
      <c:layout/>
      <c:barChart>
        <c:barDir val="col"/>
        <c:grouping val="clustered"/>
        <c:varyColors val="1"/>
        <c:ser>
          <c:idx val="0"/>
          <c:order val="0"/>
          <c:spPr>
            <a:solidFill>
              <a:srgbClr val="3366CC"/>
            </a:solidFill>
          </c:spPr>
          <c:invertIfNegative val="1"/>
          <c:cat>
            <c:strRef>
              <c:f>'MJS liquid product 101515'!$T$34:$T$37</c:f>
              <c:strCache>
                <c:ptCount val="4"/>
                <c:pt idx="0">
                  <c:v>suspended</c:v>
                </c:pt>
                <c:pt idx="1">
                  <c:v>BC </c:v>
                </c:pt>
                <c:pt idx="2">
                  <c:v>BC rocked</c:v>
                </c:pt>
                <c:pt idx="3">
                  <c:v>BC shaken</c:v>
                </c:pt>
              </c:strCache>
            </c:strRef>
          </c:cat>
          <c:val>
            <c:numRef>
              <c:f>'MJS liquid product 101515'!$U$34:$U$37</c:f>
              <c:numCache>
                <c:formatCode>General</c:formatCode>
                <c:ptCount val="4"/>
                <c:pt idx="0">
                  <c:v>114.09999999999998</c:v>
                </c:pt>
                <c:pt idx="1">
                  <c:v>119</c:v>
                </c:pt>
                <c:pt idx="2">
                  <c:v>160.96666666666667</c:v>
                </c:pt>
                <c:pt idx="3">
                  <c:v>159.4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220789840"/>
        <c:axId val="-220782768"/>
      </c:barChart>
      <c:catAx>
        <c:axId val="-220789840"/>
        <c:scaling>
          <c:orientation val="minMax"/>
        </c:scaling>
        <c:delete val="0"/>
        <c:axPos val="b"/>
        <c:numFmt formatCode="General" sourceLinked="1"/>
        <c:majorTickMark val="cross"/>
        <c:minorTickMark val="cross"/>
        <c:tickLblPos val="nextTo"/>
        <c:txPr>
          <a:bodyPr/>
          <a:lstStyle/>
          <a:p>
            <a:pPr lvl="0">
              <a:defRPr/>
            </a:pPr>
            <a:endParaRPr lang="en-US"/>
          </a:p>
        </c:txPr>
        <c:crossAx val="-220782768"/>
        <c:crosses val="autoZero"/>
        <c:auto val="1"/>
        <c:lblAlgn val="ctr"/>
        <c:lblOffset val="100"/>
        <c:noMultiLvlLbl val="1"/>
      </c:catAx>
      <c:valAx>
        <c:axId val="-220782768"/>
        <c:scaling>
          <c:orientation val="minMax"/>
          <c:min val="0"/>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220789840"/>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image" Target="../media/image7.jpg"/></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chart" Target="../charts/chart7.xml"/><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image" Target="../media/image6.jpg"/></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704850</xdr:colOff>
      <xdr:row>58</xdr:row>
      <xdr:rowOff>66675</xdr:rowOff>
    </xdr:from>
    <xdr:to>
      <xdr:col>8</xdr:col>
      <xdr:colOff>133350</xdr:colOff>
      <xdr:row>80</xdr:row>
      <xdr:rowOff>180975</xdr:rowOff>
    </xdr:to>
    <xdr:pic>
      <xdr:nvPicPr>
        <xdr:cNvPr id="2" name="image00.png" title="Image"/>
        <xdr:cNvPicPr preferRelativeResize="0"/>
      </xdr:nvPicPr>
      <xdr:blipFill>
        <a:blip xmlns:r="http://schemas.openxmlformats.org/officeDocument/2006/relationships" r:embed="rId1" cstate="print"/>
        <a:stretch>
          <a:fillRect/>
        </a:stretch>
      </xdr:blipFill>
      <xdr:spPr>
        <a:xfrm>
          <a:off x="0" y="0"/>
          <a:ext cx="5991225" cy="4514850"/>
        </a:xfrm>
        <a:prstGeom prst="rect">
          <a:avLst/>
        </a:prstGeom>
        <a:noFill/>
      </xdr:spPr>
    </xdr:pic>
    <xdr:clientData fLocksWithSheet="0"/>
  </xdr:twoCellAnchor>
</xdr:wsDr>
</file>

<file path=xl/drawings/drawing10.xml><?xml version="1.0" encoding="utf-8"?>
<xdr:wsDr xmlns:xdr="http://schemas.openxmlformats.org/drawingml/2006/spreadsheetDrawing" xmlns:a="http://schemas.openxmlformats.org/drawingml/2006/main">
  <xdr:twoCellAnchor>
    <xdr:from>
      <xdr:col>22</xdr:col>
      <xdr:colOff>257175</xdr:colOff>
      <xdr:row>26</xdr:row>
      <xdr:rowOff>57150</xdr:rowOff>
    </xdr:from>
    <xdr:to>
      <xdr:col>28</xdr:col>
      <xdr:colOff>628650</xdr:colOff>
      <xdr:row>45</xdr:row>
      <xdr:rowOff>57150</xdr:rowOff>
    </xdr:to>
    <xdr:graphicFrame macro="">
      <xdr:nvGraphicFramePr>
        <xdr:cNvPr id="9" name="Chart 9"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22</xdr:col>
      <xdr:colOff>9525</xdr:colOff>
      <xdr:row>1</xdr:row>
      <xdr:rowOff>38100</xdr:rowOff>
    </xdr:from>
    <xdr:to>
      <xdr:col>28</xdr:col>
      <xdr:colOff>676275</xdr:colOff>
      <xdr:row>24</xdr:row>
      <xdr:rowOff>0</xdr:rowOff>
    </xdr:to>
    <xdr:graphicFrame macro="">
      <xdr:nvGraphicFramePr>
        <xdr:cNvPr id="10" name="Chart 1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wsDr>
</file>

<file path=xl/drawings/drawing11.xml><?xml version="1.0" encoding="utf-8"?>
<xdr:wsDr xmlns:xdr="http://schemas.openxmlformats.org/drawingml/2006/spreadsheetDrawing" xmlns:a="http://schemas.openxmlformats.org/drawingml/2006/main">
  <xdr:twoCellAnchor>
    <xdr:from>
      <xdr:col>9</xdr:col>
      <xdr:colOff>561975</xdr:colOff>
      <xdr:row>35</xdr:row>
      <xdr:rowOff>76200</xdr:rowOff>
    </xdr:from>
    <xdr:to>
      <xdr:col>11</xdr:col>
      <xdr:colOff>619125</xdr:colOff>
      <xdr:row>62</xdr:row>
      <xdr:rowOff>76200</xdr:rowOff>
    </xdr:to>
    <xdr:pic>
      <xdr:nvPicPr>
        <xdr:cNvPr id="2" name="image06.jpg" title="Image"/>
        <xdr:cNvPicPr preferRelativeResize="0"/>
      </xdr:nvPicPr>
      <xdr:blipFill>
        <a:blip xmlns:r="http://schemas.openxmlformats.org/officeDocument/2006/relationships" r:embed="rId1" cstate="print"/>
        <a:stretch>
          <a:fillRect/>
        </a:stretch>
      </xdr:blipFill>
      <xdr:spPr>
        <a:xfrm>
          <a:off x="0" y="0"/>
          <a:ext cx="3038475" cy="5400675"/>
        </a:xfrm>
        <a:prstGeom prst="rect">
          <a:avLst/>
        </a:prstGeom>
        <a:noFill/>
      </xdr:spPr>
    </xdr:pic>
    <xdr:clientData fLocksWithSheet="0"/>
  </xdr:twoCellAnchor>
</xdr:wsDr>
</file>

<file path=xl/drawings/drawing12.xml><?xml version="1.0" encoding="utf-8"?>
<xdr:wsDr xmlns:xdr="http://schemas.openxmlformats.org/drawingml/2006/spreadsheetDrawing" xmlns:a="http://schemas.openxmlformats.org/drawingml/2006/main">
  <xdr:twoCellAnchor>
    <xdr:from>
      <xdr:col>21</xdr:col>
      <xdr:colOff>495300</xdr:colOff>
      <xdr:row>19</xdr:row>
      <xdr:rowOff>190500</xdr:rowOff>
    </xdr:from>
    <xdr:to>
      <xdr:col>27</xdr:col>
      <xdr:colOff>438150</xdr:colOff>
      <xdr:row>37</xdr:row>
      <xdr:rowOff>123825</xdr:rowOff>
    </xdr:to>
    <xdr:graphicFrame macro="">
      <xdr:nvGraphicFramePr>
        <xdr:cNvPr id="11" name="Chart 1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7</xdr:col>
      <xdr:colOff>666750</xdr:colOff>
      <xdr:row>45</xdr:row>
      <xdr:rowOff>95250</xdr:rowOff>
    </xdr:from>
    <xdr:to>
      <xdr:col>11</xdr:col>
      <xdr:colOff>1581150</xdr:colOff>
      <xdr:row>63</xdr:row>
      <xdr:rowOff>28575</xdr:rowOff>
    </xdr:to>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2</xdr:col>
      <xdr:colOff>76200</xdr:colOff>
      <xdr:row>65</xdr:row>
      <xdr:rowOff>133350</xdr:rowOff>
    </xdr:from>
    <xdr:to>
      <xdr:col>5</xdr:col>
      <xdr:colOff>990600</xdr:colOff>
      <xdr:row>76</xdr:row>
      <xdr:rowOff>142875</xdr:rowOff>
    </xdr:to>
    <xdr:pic>
      <xdr:nvPicPr>
        <xdr:cNvPr id="3" name="image02.png" title="Image"/>
        <xdr:cNvPicPr preferRelativeResize="0"/>
      </xdr:nvPicPr>
      <xdr:blipFill>
        <a:blip xmlns:r="http://schemas.openxmlformats.org/officeDocument/2006/relationships" r:embed="rId2" cstate="print"/>
        <a:stretch>
          <a:fillRect/>
        </a:stretch>
      </xdr:blipFill>
      <xdr:spPr>
        <a:xfrm>
          <a:off x="0" y="0"/>
          <a:ext cx="3800475" cy="2209800"/>
        </a:xfrm>
        <a:prstGeom prst="rect">
          <a:avLst/>
        </a:prstGeom>
        <a:noFill/>
      </xdr:spPr>
    </xdr:pic>
    <xdr:clientData fLocksWithSheet="0"/>
  </xdr:twoCellAnchor>
  <xdr:twoCellAnchor>
    <xdr:from>
      <xdr:col>6</xdr:col>
      <xdr:colOff>390525</xdr:colOff>
      <xdr:row>64</xdr:row>
      <xdr:rowOff>28575</xdr:rowOff>
    </xdr:from>
    <xdr:to>
      <xdr:col>10</xdr:col>
      <xdr:colOff>981075</xdr:colOff>
      <xdr:row>80</xdr:row>
      <xdr:rowOff>114300</xdr:rowOff>
    </xdr:to>
    <xdr:pic>
      <xdr:nvPicPr>
        <xdr:cNvPr id="4" name="image01.png" title="Image"/>
        <xdr:cNvPicPr preferRelativeResize="0"/>
      </xdr:nvPicPr>
      <xdr:blipFill>
        <a:blip xmlns:r="http://schemas.openxmlformats.org/officeDocument/2006/relationships" r:embed="rId3" cstate="print"/>
        <a:stretch>
          <a:fillRect/>
        </a:stretch>
      </xdr:blipFill>
      <xdr:spPr>
        <a:xfrm>
          <a:off x="0" y="0"/>
          <a:ext cx="5648325" cy="3286125"/>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dr:twoCellAnchor>
    <xdr:from>
      <xdr:col>13</xdr:col>
      <xdr:colOff>771525</xdr:colOff>
      <xdr:row>17</xdr:row>
      <xdr:rowOff>161925</xdr:rowOff>
    </xdr:from>
    <xdr:to>
      <xdr:col>19</xdr:col>
      <xdr:colOff>304800</xdr:colOff>
      <xdr:row>35</xdr:row>
      <xdr:rowOff>95250</xdr:rowOff>
    </xdr:to>
    <xdr:graphicFrame macro="">
      <xdr:nvGraphicFramePr>
        <xdr:cNvPr id="2" name="Chart 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xdr:col>
      <xdr:colOff>742950</xdr:colOff>
      <xdr:row>56</xdr:row>
      <xdr:rowOff>47625</xdr:rowOff>
    </xdr:from>
    <xdr:to>
      <xdr:col>7</xdr:col>
      <xdr:colOff>257175</xdr:colOff>
      <xdr:row>77</xdr:row>
      <xdr:rowOff>133350</xdr:rowOff>
    </xdr:to>
    <xdr:pic>
      <xdr:nvPicPr>
        <xdr:cNvPr id="3" name="image03.png" title="Image"/>
        <xdr:cNvPicPr preferRelativeResize="0"/>
      </xdr:nvPicPr>
      <xdr:blipFill>
        <a:blip xmlns:r="http://schemas.openxmlformats.org/officeDocument/2006/relationships" r:embed="rId2" cstate="print"/>
        <a:stretch>
          <a:fillRect/>
        </a:stretch>
      </xdr:blipFill>
      <xdr:spPr>
        <a:xfrm>
          <a:off x="0" y="0"/>
          <a:ext cx="6657975" cy="4286250"/>
        </a:xfrm>
        <a:prstGeom prst="rect">
          <a:avLst/>
        </a:prstGeom>
        <a:noFill/>
      </xdr:spPr>
    </xdr:pic>
    <xdr:clientData fLocksWithSheet="0"/>
  </xdr:twoCellAnchor>
</xdr:wsDr>
</file>

<file path=xl/drawings/drawing4.xml><?xml version="1.0" encoding="utf-8"?>
<xdr:wsDr xmlns:xdr="http://schemas.openxmlformats.org/drawingml/2006/spreadsheetDrawing" xmlns:a="http://schemas.openxmlformats.org/drawingml/2006/main">
  <xdr:twoCellAnchor>
    <xdr:from>
      <xdr:col>0</xdr:col>
      <xdr:colOff>152400</xdr:colOff>
      <xdr:row>0</xdr:row>
      <xdr:rowOff>104775</xdr:rowOff>
    </xdr:from>
    <xdr:to>
      <xdr:col>4</xdr:col>
      <xdr:colOff>57150</xdr:colOff>
      <xdr:row>12</xdr:row>
      <xdr:rowOff>19050</xdr:rowOff>
    </xdr:to>
    <xdr:graphicFrame macro="">
      <xdr:nvGraphicFramePr>
        <xdr:cNvPr id="3" name="Chart 3"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5.xml><?xml version="1.0" encoding="utf-8"?>
<xdr:wsDr xmlns:xdr="http://schemas.openxmlformats.org/drawingml/2006/spreadsheetDrawing" xmlns:a="http://schemas.openxmlformats.org/drawingml/2006/main">
  <xdr:twoCellAnchor>
    <xdr:from>
      <xdr:col>2</xdr:col>
      <xdr:colOff>885825</xdr:colOff>
      <xdr:row>3</xdr:row>
      <xdr:rowOff>28575</xdr:rowOff>
    </xdr:from>
    <xdr:to>
      <xdr:col>10</xdr:col>
      <xdr:colOff>219075</xdr:colOff>
      <xdr:row>20</xdr:row>
      <xdr:rowOff>161925</xdr:rowOff>
    </xdr:to>
    <xdr:graphicFrame macro="">
      <xdr:nvGraphicFramePr>
        <xdr:cNvPr id="4" name="Chart 4"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6.xml><?xml version="1.0" encoding="utf-8"?>
<xdr:wsDr xmlns:xdr="http://schemas.openxmlformats.org/drawingml/2006/spreadsheetDrawing" xmlns:a="http://schemas.openxmlformats.org/drawingml/2006/main">
  <xdr:twoCellAnchor>
    <xdr:from>
      <xdr:col>3</xdr:col>
      <xdr:colOff>476250</xdr:colOff>
      <xdr:row>39</xdr:row>
      <xdr:rowOff>152400</xdr:rowOff>
    </xdr:from>
    <xdr:to>
      <xdr:col>8</xdr:col>
      <xdr:colOff>476250</xdr:colOff>
      <xdr:row>57</xdr:row>
      <xdr:rowOff>85725</xdr:rowOff>
    </xdr:to>
    <xdr:graphicFrame macro="">
      <xdr:nvGraphicFramePr>
        <xdr:cNvPr id="5" name="Chart 5"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7.xml><?xml version="1.0" encoding="utf-8"?>
<xdr:wsDr xmlns:xdr="http://schemas.openxmlformats.org/drawingml/2006/spreadsheetDrawing" xmlns:a="http://schemas.openxmlformats.org/drawingml/2006/main">
  <xdr:twoCellAnchor>
    <xdr:from>
      <xdr:col>7</xdr:col>
      <xdr:colOff>381000</xdr:colOff>
      <xdr:row>42</xdr:row>
      <xdr:rowOff>104775</xdr:rowOff>
    </xdr:from>
    <xdr:to>
      <xdr:col>12</xdr:col>
      <xdr:colOff>381000</xdr:colOff>
      <xdr:row>55</xdr:row>
      <xdr:rowOff>123825</xdr:rowOff>
    </xdr:to>
    <xdr:graphicFrame macro="">
      <xdr:nvGraphicFramePr>
        <xdr:cNvPr id="6" name="Chart 6"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11</xdr:col>
      <xdr:colOff>123825</xdr:colOff>
      <xdr:row>19</xdr:row>
      <xdr:rowOff>171450</xdr:rowOff>
    </xdr:from>
    <xdr:to>
      <xdr:col>15</xdr:col>
      <xdr:colOff>590550</xdr:colOff>
      <xdr:row>38</xdr:row>
      <xdr:rowOff>133350</xdr:rowOff>
    </xdr:to>
    <xdr:graphicFrame macro="">
      <xdr:nvGraphicFramePr>
        <xdr:cNvPr id="7" name="Chart 7"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4</xdr:col>
      <xdr:colOff>342900</xdr:colOff>
      <xdr:row>50</xdr:row>
      <xdr:rowOff>57150</xdr:rowOff>
    </xdr:from>
    <xdr:to>
      <xdr:col>8</xdr:col>
      <xdr:colOff>247650</xdr:colOff>
      <xdr:row>81</xdr:row>
      <xdr:rowOff>0</xdr:rowOff>
    </xdr:to>
    <xdr:pic>
      <xdr:nvPicPr>
        <xdr:cNvPr id="2" name="image04.png" title="Image"/>
        <xdr:cNvPicPr preferRelativeResize="0"/>
      </xdr:nvPicPr>
      <xdr:blipFill>
        <a:blip xmlns:r="http://schemas.openxmlformats.org/officeDocument/2006/relationships" r:embed="rId3" cstate="print"/>
        <a:stretch>
          <a:fillRect/>
        </a:stretch>
      </xdr:blipFill>
      <xdr:spPr>
        <a:xfrm>
          <a:off x="0" y="0"/>
          <a:ext cx="4657725" cy="6143625"/>
        </a:xfrm>
        <a:prstGeom prst="rect">
          <a:avLst/>
        </a:prstGeom>
        <a:noFill/>
      </xdr:spPr>
    </xdr:pic>
    <xdr:clientData fLocksWithSheet="0"/>
  </xdr:twoCellAnchor>
</xdr:wsDr>
</file>

<file path=xl/drawings/drawing8.xml><?xml version="1.0" encoding="utf-8"?>
<xdr:wsDr xmlns:xdr="http://schemas.openxmlformats.org/drawingml/2006/spreadsheetDrawing" xmlns:a="http://schemas.openxmlformats.org/drawingml/2006/main">
  <xdr:twoCellAnchor>
    <xdr:from>
      <xdr:col>7</xdr:col>
      <xdr:colOff>895350</xdr:colOff>
      <xdr:row>18</xdr:row>
      <xdr:rowOff>114300</xdr:rowOff>
    </xdr:from>
    <xdr:to>
      <xdr:col>8</xdr:col>
      <xdr:colOff>1943100</xdr:colOff>
      <xdr:row>36</xdr:row>
      <xdr:rowOff>85725</xdr:rowOff>
    </xdr:to>
    <xdr:pic>
      <xdr:nvPicPr>
        <xdr:cNvPr id="2" name="image05.jpg" title="Image"/>
        <xdr:cNvPicPr preferRelativeResize="0"/>
      </xdr:nvPicPr>
      <xdr:blipFill>
        <a:blip xmlns:r="http://schemas.openxmlformats.org/officeDocument/2006/relationships" r:embed="rId1" cstate="print"/>
        <a:stretch>
          <a:fillRect/>
        </a:stretch>
      </xdr:blipFill>
      <xdr:spPr>
        <a:xfrm>
          <a:off x="0" y="0"/>
          <a:ext cx="2009775" cy="3571875"/>
        </a:xfrm>
        <a:prstGeom prst="rect">
          <a:avLst/>
        </a:prstGeom>
        <a:noFill/>
      </xdr:spPr>
    </xdr:pic>
    <xdr:clientData fLocksWithSheet="0"/>
  </xdr:twoCellAnchor>
</xdr:wsDr>
</file>

<file path=xl/drawings/drawing9.xml><?xml version="1.0" encoding="utf-8"?>
<xdr:wsDr xmlns:xdr="http://schemas.openxmlformats.org/drawingml/2006/spreadsheetDrawing" xmlns:a="http://schemas.openxmlformats.org/drawingml/2006/main">
  <xdr:twoCellAnchor>
    <xdr:from>
      <xdr:col>7</xdr:col>
      <xdr:colOff>361950</xdr:colOff>
      <xdr:row>1</xdr:row>
      <xdr:rowOff>190500</xdr:rowOff>
    </xdr:from>
    <xdr:to>
      <xdr:col>13</xdr:col>
      <xdr:colOff>171450</xdr:colOff>
      <xdr:row>15</xdr:row>
      <xdr:rowOff>133350</xdr:rowOff>
    </xdr:to>
    <xdr:graphicFrame macro="">
      <xdr:nvGraphicFramePr>
        <xdr:cNvPr id="8" name="Chart 8"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1"/>
  <sheetViews>
    <sheetView topLeftCell="A10" workbookViewId="0"/>
  </sheetViews>
  <sheetFormatPr defaultColWidth="14.42578125" defaultRowHeight="15.75" customHeight="1"/>
  <cols>
    <col min="3" max="3" width="18.140625" customWidth="1"/>
    <col min="4" max="5" width="15.5703125" customWidth="1"/>
    <col min="7" max="7" width="24.28515625" customWidth="1"/>
    <col min="8" max="8" width="18.28515625" customWidth="1"/>
  </cols>
  <sheetData>
    <row r="1" spans="1:18" ht="15.75" customHeight="1">
      <c r="A1" s="1" t="s">
        <v>0</v>
      </c>
      <c r="B1" s="1" t="s">
        <v>1</v>
      </c>
      <c r="C1" s="1" t="s">
        <v>2</v>
      </c>
      <c r="D1" s="1" t="s">
        <v>3</v>
      </c>
      <c r="E1" s="1" t="s">
        <v>4</v>
      </c>
      <c r="F1" s="1" t="s">
        <v>5</v>
      </c>
      <c r="H1" s="1" t="s">
        <v>6</v>
      </c>
      <c r="I1" s="1" t="s">
        <v>7</v>
      </c>
      <c r="J1" s="1" t="s">
        <v>8</v>
      </c>
      <c r="K1" s="1" t="s">
        <v>9</v>
      </c>
      <c r="L1" s="1" t="s">
        <v>10</v>
      </c>
      <c r="M1" s="2" t="s">
        <v>11</v>
      </c>
      <c r="N1" s="1" t="s">
        <v>12</v>
      </c>
      <c r="O1" s="1" t="s">
        <v>13</v>
      </c>
      <c r="P1" s="1" t="s">
        <v>14</v>
      </c>
      <c r="R1" s="1" t="s">
        <v>15</v>
      </c>
    </row>
    <row r="2" spans="1:18" ht="15.75" customHeight="1">
      <c r="D2" s="1"/>
      <c r="G2" s="1" t="s">
        <v>16</v>
      </c>
      <c r="R2" s="1">
        <v>340</v>
      </c>
    </row>
    <row r="3" spans="1:18" ht="15.75" customHeight="1">
      <c r="A3" s="1">
        <v>1</v>
      </c>
      <c r="B3" s="1" t="s">
        <v>17</v>
      </c>
      <c r="C3" s="1">
        <v>4</v>
      </c>
      <c r="D3" s="1" t="s">
        <v>17</v>
      </c>
      <c r="E3" s="3">
        <v>0.42708333333333331</v>
      </c>
      <c r="F3" s="1"/>
      <c r="G3" s="1" t="s">
        <v>17</v>
      </c>
      <c r="H3" s="1">
        <v>14378</v>
      </c>
      <c r="J3" s="1">
        <v>541</v>
      </c>
      <c r="K3" s="1">
        <v>206</v>
      </c>
      <c r="L3" s="1">
        <v>404</v>
      </c>
      <c r="N3" s="3"/>
    </row>
    <row r="4" spans="1:18" ht="15.75" customHeight="1">
      <c r="A4" s="1">
        <f t="shared" ref="A4:A5" si="0">A3+1</f>
        <v>2</v>
      </c>
      <c r="B4" s="1" t="s">
        <v>18</v>
      </c>
      <c r="C4" s="1">
        <v>4</v>
      </c>
      <c r="D4" s="1" t="s">
        <v>18</v>
      </c>
      <c r="E4" s="3"/>
      <c r="F4" s="1"/>
      <c r="G4" s="1" t="s">
        <v>18</v>
      </c>
      <c r="H4" s="1">
        <v>13840</v>
      </c>
      <c r="J4" s="1">
        <v>518</v>
      </c>
      <c r="K4" s="1">
        <v>321</v>
      </c>
      <c r="L4" s="1">
        <v>352</v>
      </c>
      <c r="P4" s="1"/>
    </row>
    <row r="5" spans="1:18" ht="15.75" customHeight="1">
      <c r="A5" s="1">
        <f t="shared" si="0"/>
        <v>3</v>
      </c>
      <c r="B5" s="1" t="s">
        <v>19</v>
      </c>
      <c r="C5" s="1">
        <v>4</v>
      </c>
      <c r="D5" s="1" t="s">
        <v>19</v>
      </c>
      <c r="E5" s="3"/>
      <c r="F5" s="1"/>
      <c r="G5" s="1" t="s">
        <v>19</v>
      </c>
      <c r="H5" s="1">
        <v>13629</v>
      </c>
      <c r="I5" s="1"/>
      <c r="J5" s="1">
        <v>420</v>
      </c>
      <c r="K5" s="1">
        <v>499</v>
      </c>
      <c r="L5" s="1">
        <v>269</v>
      </c>
    </row>
    <row r="6" spans="1:18" ht="15.75" customHeight="1">
      <c r="A6" s="1">
        <v>4</v>
      </c>
      <c r="B6" s="1" t="s">
        <v>20</v>
      </c>
      <c r="C6" s="1">
        <v>4</v>
      </c>
      <c r="D6" s="1" t="s">
        <v>20</v>
      </c>
      <c r="E6" s="3"/>
      <c r="F6" s="1"/>
      <c r="G6" s="1" t="s">
        <v>20</v>
      </c>
      <c r="H6" s="1"/>
      <c r="I6" s="1"/>
      <c r="J6" s="1"/>
      <c r="K6" s="1"/>
      <c r="L6" s="1"/>
      <c r="N6" s="1"/>
      <c r="P6" s="1"/>
    </row>
    <row r="7" spans="1:18" ht="15.75" customHeight="1">
      <c r="A7" s="1">
        <f t="shared" ref="A7:A22" si="1">A6+1</f>
        <v>5</v>
      </c>
      <c r="B7" s="1" t="s">
        <v>21</v>
      </c>
      <c r="C7" s="1">
        <v>4</v>
      </c>
      <c r="D7" s="1" t="s">
        <v>21</v>
      </c>
      <c r="E7" s="3"/>
      <c r="F7" s="1"/>
      <c r="G7" s="1" t="s">
        <v>21</v>
      </c>
      <c r="H7" s="1"/>
      <c r="J7" s="1"/>
      <c r="K7" s="1"/>
      <c r="L7" s="1"/>
    </row>
    <row r="8" spans="1:18" ht="15.75" customHeight="1">
      <c r="A8" s="1">
        <f t="shared" si="1"/>
        <v>6</v>
      </c>
      <c r="B8" s="1" t="s">
        <v>22</v>
      </c>
      <c r="C8" s="1">
        <v>4</v>
      </c>
      <c r="D8" s="1" t="s">
        <v>22</v>
      </c>
      <c r="E8" s="3"/>
      <c r="F8" s="1"/>
      <c r="G8" s="1" t="s">
        <v>22</v>
      </c>
      <c r="H8" s="1"/>
      <c r="I8" s="1"/>
      <c r="J8" s="1"/>
      <c r="K8" s="1"/>
      <c r="L8" s="1"/>
    </row>
    <row r="9" spans="1:18" ht="15.75" customHeight="1">
      <c r="A9" s="1">
        <f t="shared" si="1"/>
        <v>7</v>
      </c>
      <c r="B9" s="1" t="s">
        <v>23</v>
      </c>
      <c r="C9" s="1">
        <v>4</v>
      </c>
      <c r="D9" s="1" t="s">
        <v>23</v>
      </c>
      <c r="E9" s="3"/>
      <c r="F9" s="1"/>
      <c r="G9" s="1" t="s">
        <v>23</v>
      </c>
      <c r="H9" s="1"/>
      <c r="I9" s="1"/>
      <c r="J9" s="1"/>
      <c r="K9" s="1"/>
      <c r="L9" s="1"/>
      <c r="N9" s="1"/>
    </row>
    <row r="10" spans="1:18" ht="15.75" customHeight="1">
      <c r="A10" s="1">
        <f t="shared" si="1"/>
        <v>8</v>
      </c>
      <c r="B10" s="1" t="s">
        <v>24</v>
      </c>
      <c r="C10" s="1">
        <v>4</v>
      </c>
      <c r="D10" s="1" t="s">
        <v>24</v>
      </c>
      <c r="E10" s="3"/>
      <c r="F10" s="1"/>
      <c r="G10" s="1" t="s">
        <v>24</v>
      </c>
      <c r="H10" s="1"/>
      <c r="I10" s="1"/>
      <c r="J10" s="1"/>
      <c r="K10" s="1"/>
      <c r="L10" s="1"/>
    </row>
    <row r="11" spans="1:18" ht="15.75" customHeight="1">
      <c r="A11" s="1">
        <f t="shared" si="1"/>
        <v>9</v>
      </c>
      <c r="B11" s="1" t="s">
        <v>25</v>
      </c>
      <c r="C11" s="1">
        <v>4</v>
      </c>
      <c r="D11" s="1" t="s">
        <v>25</v>
      </c>
      <c r="E11" s="3"/>
      <c r="F11" s="1"/>
      <c r="G11" s="1" t="s">
        <v>25</v>
      </c>
      <c r="H11" s="1"/>
      <c r="I11" s="1"/>
      <c r="J11" s="1"/>
      <c r="K11" s="1"/>
      <c r="L11" s="1"/>
      <c r="P11" s="1"/>
    </row>
    <row r="12" spans="1:18" ht="15.75" customHeight="1">
      <c r="A12" s="1">
        <f t="shared" si="1"/>
        <v>10</v>
      </c>
      <c r="B12" s="1" t="s">
        <v>26</v>
      </c>
      <c r="C12" s="1">
        <v>4</v>
      </c>
      <c r="D12" s="1" t="s">
        <v>26</v>
      </c>
      <c r="E12" s="3"/>
      <c r="F12" s="1"/>
      <c r="G12" s="1" t="s">
        <v>26</v>
      </c>
      <c r="H12" s="1"/>
      <c r="J12" s="1"/>
      <c r="K12" s="1"/>
      <c r="L12" s="1"/>
      <c r="N12" s="1"/>
    </row>
    <row r="13" spans="1:18" ht="15.75" customHeight="1">
      <c r="A13" s="1">
        <f t="shared" si="1"/>
        <v>11</v>
      </c>
      <c r="B13" s="1" t="s">
        <v>27</v>
      </c>
      <c r="C13" s="1">
        <v>4</v>
      </c>
      <c r="D13" s="1" t="s">
        <v>27</v>
      </c>
      <c r="E13" s="3"/>
      <c r="F13" s="1"/>
      <c r="G13" s="1" t="s">
        <v>27</v>
      </c>
      <c r="H13" s="1"/>
      <c r="J13" s="1"/>
      <c r="K13" s="1"/>
      <c r="L13" s="1"/>
    </row>
    <row r="14" spans="1:18" ht="15.75" customHeight="1">
      <c r="A14" s="1">
        <f t="shared" si="1"/>
        <v>12</v>
      </c>
      <c r="B14" s="1" t="s">
        <v>28</v>
      </c>
      <c r="C14" s="1">
        <v>4</v>
      </c>
      <c r="D14" s="1" t="s">
        <v>28</v>
      </c>
      <c r="E14" s="3"/>
      <c r="F14" s="1"/>
      <c r="G14" s="1" t="s">
        <v>28</v>
      </c>
      <c r="H14" s="1"/>
      <c r="I14" s="1"/>
      <c r="J14" s="1"/>
      <c r="K14" s="1"/>
      <c r="L14" s="1"/>
    </row>
    <row r="15" spans="1:18" ht="15.75" customHeight="1">
      <c r="A15" s="1">
        <f t="shared" si="1"/>
        <v>13</v>
      </c>
      <c r="B15" s="1" t="s">
        <v>29</v>
      </c>
      <c r="C15" s="1">
        <v>4</v>
      </c>
      <c r="D15" s="1" t="s">
        <v>29</v>
      </c>
      <c r="E15" s="3"/>
      <c r="F15" s="1"/>
      <c r="G15" s="1" t="s">
        <v>17</v>
      </c>
      <c r="H15" s="1"/>
      <c r="I15" s="1"/>
      <c r="J15" s="1"/>
      <c r="K15" s="1"/>
      <c r="L15" s="1"/>
      <c r="N15" s="1"/>
    </row>
    <row r="16" spans="1:18" ht="15.75" customHeight="1">
      <c r="A16" s="1">
        <f t="shared" si="1"/>
        <v>14</v>
      </c>
      <c r="B16" s="1" t="s">
        <v>30</v>
      </c>
      <c r="C16" s="1">
        <v>4</v>
      </c>
      <c r="D16" s="1" t="s">
        <v>30</v>
      </c>
      <c r="E16" s="3"/>
      <c r="F16" s="1"/>
      <c r="G16" s="1" t="s">
        <v>18</v>
      </c>
      <c r="H16" s="1"/>
      <c r="J16" s="1"/>
      <c r="K16" s="1"/>
      <c r="L16" s="1"/>
    </row>
    <row r="17" spans="1:14" ht="15.75" customHeight="1">
      <c r="A17" s="1">
        <f t="shared" si="1"/>
        <v>15</v>
      </c>
      <c r="B17" s="1" t="s">
        <v>31</v>
      </c>
      <c r="C17" s="1">
        <v>4</v>
      </c>
      <c r="D17" s="1" t="s">
        <v>31</v>
      </c>
      <c r="E17" s="3"/>
      <c r="F17" s="1"/>
      <c r="G17" s="1" t="s">
        <v>19</v>
      </c>
      <c r="H17" s="1"/>
      <c r="J17" s="1"/>
      <c r="K17" s="1"/>
      <c r="L17" s="1"/>
    </row>
    <row r="18" spans="1:14" ht="15.75" customHeight="1">
      <c r="A18" s="1">
        <f t="shared" si="1"/>
        <v>16</v>
      </c>
      <c r="B18" s="1" t="s">
        <v>32</v>
      </c>
      <c r="C18" s="1">
        <v>4</v>
      </c>
      <c r="D18" s="1" t="s">
        <v>33</v>
      </c>
      <c r="E18" s="3"/>
      <c r="F18" s="1"/>
      <c r="G18" s="1" t="s">
        <v>20</v>
      </c>
      <c r="H18" s="1"/>
      <c r="J18" s="1"/>
      <c r="K18" s="1"/>
      <c r="L18" s="1"/>
      <c r="N18" s="1"/>
    </row>
    <row r="19" spans="1:14" ht="15.75" customHeight="1">
      <c r="A19" s="1">
        <f t="shared" si="1"/>
        <v>17</v>
      </c>
      <c r="B19" s="1" t="s">
        <v>34</v>
      </c>
      <c r="C19" s="1">
        <v>4</v>
      </c>
      <c r="D19" s="1" t="s">
        <v>35</v>
      </c>
      <c r="E19" s="3"/>
      <c r="F19" s="1"/>
      <c r="G19" s="1" t="s">
        <v>21</v>
      </c>
      <c r="H19" s="1"/>
      <c r="J19" s="1"/>
      <c r="K19" s="1"/>
      <c r="L19" s="1"/>
    </row>
    <row r="20" spans="1:14" ht="15.75" customHeight="1">
      <c r="A20" s="1">
        <f t="shared" si="1"/>
        <v>18</v>
      </c>
      <c r="B20" s="1" t="s">
        <v>36</v>
      </c>
      <c r="C20" s="1">
        <v>4</v>
      </c>
      <c r="D20" s="1" t="s">
        <v>37</v>
      </c>
      <c r="E20" s="3"/>
      <c r="F20" s="1"/>
      <c r="G20" s="1" t="s">
        <v>22</v>
      </c>
      <c r="H20" s="1"/>
      <c r="I20" s="1"/>
      <c r="J20" s="1"/>
      <c r="K20" s="1"/>
      <c r="L20" s="1"/>
    </row>
    <row r="21" spans="1:14" ht="15.75" customHeight="1">
      <c r="A21" s="1">
        <f t="shared" si="1"/>
        <v>19</v>
      </c>
      <c r="B21" s="1" t="s">
        <v>38</v>
      </c>
      <c r="C21" s="1">
        <v>4</v>
      </c>
      <c r="D21" s="1" t="s">
        <v>39</v>
      </c>
      <c r="G21" s="1" t="s">
        <v>23</v>
      </c>
      <c r="H21" s="1"/>
      <c r="I21" s="1"/>
      <c r="J21" s="1"/>
      <c r="K21" s="1"/>
      <c r="L21" s="1"/>
      <c r="N21" s="1"/>
    </row>
    <row r="22" spans="1:14" ht="15.75" customHeight="1">
      <c r="A22" s="1">
        <f t="shared" si="1"/>
        <v>20</v>
      </c>
      <c r="B22" s="1" t="s">
        <v>40</v>
      </c>
      <c r="C22" s="1">
        <v>4</v>
      </c>
      <c r="D22" s="1" t="s">
        <v>41</v>
      </c>
      <c r="G22" s="1" t="s">
        <v>24</v>
      </c>
      <c r="H22" s="1"/>
      <c r="I22" s="1"/>
      <c r="J22" s="1"/>
      <c r="K22" s="1"/>
      <c r="L22" s="1"/>
    </row>
    <row r="23" spans="1:14" ht="15.75" customHeight="1">
      <c r="A23" s="1">
        <v>21</v>
      </c>
      <c r="B23" s="1" t="s">
        <v>42</v>
      </c>
      <c r="C23" s="1">
        <v>4</v>
      </c>
      <c r="D23" s="1" t="s">
        <v>43</v>
      </c>
      <c r="G23" s="1" t="s">
        <v>25</v>
      </c>
      <c r="H23" s="1"/>
      <c r="J23" s="1"/>
      <c r="K23" s="1"/>
      <c r="L23" s="1"/>
    </row>
    <row r="24" spans="1:14" ht="15.75" customHeight="1">
      <c r="C24" s="1"/>
    </row>
    <row r="26" spans="1:14" ht="15.75" customHeight="1">
      <c r="C26" s="1"/>
      <c r="D26" s="1" t="s">
        <v>44</v>
      </c>
      <c r="E26" s="1">
        <v>0.3</v>
      </c>
    </row>
    <row r="27" spans="1:14" ht="15.75" customHeight="1">
      <c r="D27" s="1" t="s">
        <v>45</v>
      </c>
      <c r="E27" s="1" t="s">
        <v>46</v>
      </c>
      <c r="F27" s="1" t="s">
        <v>47</v>
      </c>
      <c r="H27" s="1" t="s">
        <v>48</v>
      </c>
      <c r="I27" s="1"/>
    </row>
    <row r="28" spans="1:14" ht="15.75" customHeight="1">
      <c r="D28" s="1" t="s">
        <v>49</v>
      </c>
      <c r="E28" s="1" t="s">
        <v>50</v>
      </c>
      <c r="F28" s="185" t="s">
        <v>51</v>
      </c>
      <c r="G28" s="186"/>
      <c r="I28" s="1"/>
    </row>
    <row r="29" spans="1:14" ht="15.75" customHeight="1">
      <c r="D29" s="1" t="s">
        <v>52</v>
      </c>
      <c r="E29" s="1">
        <v>1350</v>
      </c>
      <c r="F29">
        <f>E29/$E$26-E29</f>
        <v>3150</v>
      </c>
      <c r="H29">
        <f>E29+F29</f>
        <v>4500</v>
      </c>
      <c r="I29">
        <f>21*200</f>
        <v>4200</v>
      </c>
      <c r="J29" s="1"/>
    </row>
    <row r="30" spans="1:14" ht="15.75" customHeight="1">
      <c r="D30" s="1"/>
      <c r="E30" s="1"/>
      <c r="F30" s="5"/>
      <c r="G30" s="5"/>
      <c r="I30" s="1"/>
    </row>
    <row r="31" spans="1:14" ht="15.75" customHeight="1">
      <c r="C31" s="1"/>
      <c r="D31" s="1" t="s">
        <v>53</v>
      </c>
      <c r="E31">
        <f t="shared" ref="E31:F31" si="2">E29</f>
        <v>1350</v>
      </c>
      <c r="F31">
        <f t="shared" si="2"/>
        <v>3150</v>
      </c>
      <c r="I31" s="1"/>
    </row>
    <row r="32" spans="1:14" ht="15.75" customHeight="1">
      <c r="C32" s="1"/>
      <c r="D32" s="1"/>
      <c r="E32" s="1"/>
      <c r="F32" s="5"/>
      <c r="G32" s="5"/>
    </row>
    <row r="33" spans="1:14" ht="15.75" customHeight="1">
      <c r="C33" s="1"/>
      <c r="D33" s="1"/>
      <c r="E33" s="1">
        <f>1350/2</f>
        <v>675</v>
      </c>
      <c r="F33">
        <f>3150/5</f>
        <v>630</v>
      </c>
    </row>
    <row r="34" spans="1:14" ht="15.75" customHeight="1">
      <c r="D34" s="1"/>
      <c r="E34" s="5" t="s">
        <v>54</v>
      </c>
      <c r="F34" s="5" t="s">
        <v>55</v>
      </c>
      <c r="G34" s="5"/>
      <c r="K34" s="1">
        <v>0.01</v>
      </c>
      <c r="L34" s="1" t="s">
        <v>56</v>
      </c>
    </row>
    <row r="35" spans="1:14" ht="15.75" customHeight="1">
      <c r="D35" s="1"/>
      <c r="E35" s="1"/>
      <c r="K35">
        <f>K34*1000</f>
        <v>10</v>
      </c>
      <c r="L35" s="1" t="s">
        <v>57</v>
      </c>
    </row>
    <row r="36" spans="1:14" ht="15.75" customHeight="1">
      <c r="K36">
        <f>K34*25</f>
        <v>0.25</v>
      </c>
    </row>
    <row r="39" spans="1:14" ht="12.75">
      <c r="K39">
        <f>K34/0.7</f>
        <v>1.4285714285714287E-2</v>
      </c>
      <c r="L39">
        <f>K39*4</f>
        <v>5.7142857142857148E-2</v>
      </c>
    </row>
    <row r="40" spans="1:14" ht="12.75">
      <c r="A40" s="1" t="s">
        <v>58</v>
      </c>
      <c r="L40" s="1">
        <v>5.8500000000000003E-2</v>
      </c>
      <c r="M40">
        <f>L40/4</f>
        <v>1.4625000000000001E-2</v>
      </c>
      <c r="N40">
        <f>M40*0.7</f>
        <v>1.02375E-2</v>
      </c>
    </row>
    <row r="41" spans="1:14" ht="12.75">
      <c r="A41" s="1" t="s">
        <v>59</v>
      </c>
    </row>
    <row r="42" spans="1:14" ht="12.75">
      <c r="A42" s="1" t="s">
        <v>60</v>
      </c>
      <c r="G42" s="1" t="s">
        <v>61</v>
      </c>
      <c r="H42" s="1" t="s">
        <v>62</v>
      </c>
      <c r="I42">
        <f>4*21</f>
        <v>84</v>
      </c>
      <c r="J42" s="1" t="s">
        <v>63</v>
      </c>
      <c r="K42" s="1" t="s">
        <v>64</v>
      </c>
    </row>
    <row r="43" spans="1:14" ht="12.75">
      <c r="A43" s="1" t="s">
        <v>65</v>
      </c>
      <c r="G43" s="1">
        <v>52</v>
      </c>
      <c r="H43" s="1" t="s">
        <v>63</v>
      </c>
      <c r="K43" s="1" t="s">
        <v>66</v>
      </c>
    </row>
    <row r="44" spans="1:14" ht="12.75">
      <c r="A44" s="1" t="s">
        <v>67</v>
      </c>
      <c r="G44">
        <f>G43/1000</f>
        <v>5.1999999999999998E-2</v>
      </c>
      <c r="H44" s="1" t="s">
        <v>28</v>
      </c>
      <c r="L44" s="1"/>
    </row>
    <row r="45" spans="1:14" ht="12.75">
      <c r="A45" s="1" t="s">
        <v>68</v>
      </c>
      <c r="L45" s="1"/>
      <c r="M45" s="1"/>
    </row>
    <row r="46" spans="1:14" ht="12.75">
      <c r="A46" s="1" t="s">
        <v>69</v>
      </c>
      <c r="G46" s="1">
        <v>10</v>
      </c>
      <c r="H46" s="1" t="s">
        <v>57</v>
      </c>
      <c r="I46">
        <f>G44*G46</f>
        <v>0.52</v>
      </c>
      <c r="J46" s="1" t="s">
        <v>70</v>
      </c>
      <c r="K46" s="1" t="s">
        <v>71</v>
      </c>
      <c r="L46" s="1"/>
      <c r="M46" s="1"/>
    </row>
    <row r="47" spans="1:14" ht="12.75">
      <c r="A47" s="1" t="s">
        <v>72</v>
      </c>
      <c r="G47" s="1"/>
      <c r="H47" s="1"/>
      <c r="J47" s="1"/>
    </row>
    <row r="48" spans="1:14" ht="12.75">
      <c r="L48" s="1"/>
    </row>
    <row r="49" spans="1:26" ht="12.75">
      <c r="A49" s="1" t="s">
        <v>73</v>
      </c>
      <c r="L49" s="1"/>
    </row>
    <row r="50" spans="1:26" ht="12.75">
      <c r="A50" s="1" t="s">
        <v>74</v>
      </c>
      <c r="L50" s="1"/>
    </row>
    <row r="51" spans="1:26" ht="12.75">
      <c r="A51" s="1" t="s">
        <v>75</v>
      </c>
    </row>
    <row r="52" spans="1:26" ht="12.75">
      <c r="A52" s="1"/>
      <c r="Z52" s="1"/>
    </row>
    <row r="53" spans="1:26" ht="12.75">
      <c r="A53" s="1"/>
    </row>
    <row r="54" spans="1:26" ht="12.75">
      <c r="A54" s="1"/>
    </row>
    <row r="55" spans="1:26" ht="12.75">
      <c r="A55" s="1"/>
    </row>
    <row r="56" spans="1:26" ht="12.75">
      <c r="A56" s="1"/>
    </row>
    <row r="58" spans="1:26" ht="12.75">
      <c r="A58" s="1" t="s">
        <v>76</v>
      </c>
    </row>
    <row r="59" spans="1:26" ht="12.75">
      <c r="A59" s="1" t="s">
        <v>77</v>
      </c>
    </row>
    <row r="60" spans="1:26" ht="12.75">
      <c r="A60" s="1"/>
    </row>
    <row r="61" spans="1:26" ht="12.75">
      <c r="A61" s="1"/>
    </row>
  </sheetData>
  <mergeCells count="1">
    <mergeCell ref="F28:G2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9"/>
  <sheetViews>
    <sheetView workbookViewId="0"/>
  </sheetViews>
  <sheetFormatPr defaultColWidth="14.42578125" defaultRowHeight="15.75" customHeight="1"/>
  <cols>
    <col min="3" max="3" width="13.28515625" customWidth="1"/>
    <col min="4" max="4" width="23.85546875" customWidth="1"/>
    <col min="5" max="5" width="18.42578125" customWidth="1"/>
    <col min="6" max="6" width="15.5703125" customWidth="1"/>
    <col min="7" max="7" width="19.85546875" customWidth="1"/>
  </cols>
  <sheetData>
    <row r="1" spans="1:24" ht="15.75" customHeight="1">
      <c r="A1" s="1" t="s">
        <v>322</v>
      </c>
      <c r="B1" s="1" t="s">
        <v>1</v>
      </c>
      <c r="C1" s="1" t="s">
        <v>97</v>
      </c>
      <c r="D1" s="1" t="s">
        <v>353</v>
      </c>
      <c r="E1" s="1" t="s">
        <v>354</v>
      </c>
      <c r="F1" s="1" t="s">
        <v>3</v>
      </c>
      <c r="I1" s="1" t="s">
        <v>6</v>
      </c>
      <c r="J1" s="1" t="s">
        <v>7</v>
      </c>
      <c r="K1" s="1" t="s">
        <v>8</v>
      </c>
      <c r="L1" s="1" t="s">
        <v>9</v>
      </c>
      <c r="M1" s="1" t="s">
        <v>10</v>
      </c>
      <c r="N1" s="2" t="s">
        <v>11</v>
      </c>
      <c r="P1" s="1" t="s">
        <v>13</v>
      </c>
      <c r="Q1" s="1" t="s">
        <v>6</v>
      </c>
      <c r="R1" s="1" t="s">
        <v>7</v>
      </c>
      <c r="S1" s="1" t="s">
        <v>8</v>
      </c>
      <c r="T1" s="1" t="s">
        <v>9</v>
      </c>
      <c r="U1" s="1" t="s">
        <v>10</v>
      </c>
      <c r="V1" s="2" t="s">
        <v>11</v>
      </c>
      <c r="X1" s="1" t="s">
        <v>13</v>
      </c>
    </row>
    <row r="2" spans="1:24" ht="15.75" customHeight="1">
      <c r="F2" s="1" t="s">
        <v>355</v>
      </c>
      <c r="H2" s="1" t="s">
        <v>16</v>
      </c>
      <c r="N2" s="99"/>
      <c r="V2" s="99"/>
    </row>
    <row r="3" spans="1:24" ht="15.75" customHeight="1">
      <c r="A3" s="1">
        <v>1</v>
      </c>
      <c r="B3" s="1" t="s">
        <v>17</v>
      </c>
      <c r="C3" s="1">
        <v>1</v>
      </c>
      <c r="D3" s="1" t="s">
        <v>356</v>
      </c>
      <c r="E3" s="1" t="s">
        <v>357</v>
      </c>
      <c r="F3" s="1" t="s">
        <v>17</v>
      </c>
      <c r="G3" s="101" t="s">
        <v>358</v>
      </c>
      <c r="H3" s="1" t="s">
        <v>17</v>
      </c>
      <c r="I3" s="1">
        <v>14121</v>
      </c>
      <c r="K3" s="1">
        <v>395</v>
      </c>
      <c r="L3" s="1">
        <v>651</v>
      </c>
      <c r="M3" s="1">
        <v>268</v>
      </c>
      <c r="N3">
        <f t="shared" ref="N3:N20" si="0">340/K3*L3</f>
        <v>560.35443037974687</v>
      </c>
      <c r="P3">
        <f>AVERAGE(N3:N5)</f>
        <v>578.34373666541433</v>
      </c>
    </row>
    <row r="4" spans="1:24" ht="15.75" customHeight="1">
      <c r="A4" s="1">
        <f t="shared" ref="A4:A5" si="1">A3+1</f>
        <v>2</v>
      </c>
      <c r="B4" s="1" t="s">
        <v>18</v>
      </c>
      <c r="C4" s="1">
        <v>1</v>
      </c>
      <c r="D4" s="1" t="s">
        <v>356</v>
      </c>
      <c r="E4" s="1" t="s">
        <v>357</v>
      </c>
      <c r="F4" s="1" t="s">
        <v>18</v>
      </c>
      <c r="G4" s="101" t="s">
        <v>358</v>
      </c>
      <c r="H4" s="1" t="s">
        <v>18</v>
      </c>
      <c r="I4" s="1">
        <v>14411</v>
      </c>
      <c r="K4" s="1">
        <v>405</v>
      </c>
      <c r="L4" s="1">
        <v>502</v>
      </c>
      <c r="M4" s="1">
        <v>315</v>
      </c>
      <c r="N4">
        <f t="shared" si="0"/>
        <v>421.4320987654321</v>
      </c>
    </row>
    <row r="5" spans="1:24" ht="15.75" customHeight="1">
      <c r="A5" s="1">
        <f t="shared" si="1"/>
        <v>3</v>
      </c>
      <c r="B5" s="1" t="s">
        <v>19</v>
      </c>
      <c r="C5" s="1">
        <v>1</v>
      </c>
      <c r="D5" s="1" t="s">
        <v>356</v>
      </c>
      <c r="E5" s="1" t="s">
        <v>357</v>
      </c>
      <c r="F5" s="1" t="s">
        <v>19</v>
      </c>
      <c r="G5" s="101" t="s">
        <v>358</v>
      </c>
      <c r="H5" s="1" t="s">
        <v>359</v>
      </c>
      <c r="I5" s="1">
        <v>13292</v>
      </c>
      <c r="J5" s="1">
        <v>3.9</v>
      </c>
      <c r="K5" s="1">
        <v>376</v>
      </c>
      <c r="L5" s="1">
        <v>833</v>
      </c>
      <c r="M5" s="1">
        <v>194</v>
      </c>
      <c r="N5">
        <f t="shared" si="0"/>
        <v>753.24468085106389</v>
      </c>
      <c r="Q5" s="1">
        <v>12914</v>
      </c>
      <c r="S5" s="1">
        <v>350</v>
      </c>
      <c r="T5" s="1">
        <v>742</v>
      </c>
      <c r="U5" s="1">
        <v>210</v>
      </c>
    </row>
    <row r="6" spans="1:24" ht="15.75" customHeight="1">
      <c r="A6" s="1">
        <v>4</v>
      </c>
      <c r="B6" s="1" t="s">
        <v>20</v>
      </c>
      <c r="C6" s="1">
        <v>1</v>
      </c>
      <c r="D6" s="1" t="s">
        <v>356</v>
      </c>
      <c r="E6" s="1" t="s">
        <v>360</v>
      </c>
      <c r="F6" s="1" t="s">
        <v>20</v>
      </c>
      <c r="G6" s="101" t="s">
        <v>358</v>
      </c>
      <c r="H6" s="1" t="s">
        <v>20</v>
      </c>
      <c r="I6" s="1">
        <v>13596</v>
      </c>
      <c r="K6" s="1">
        <v>382</v>
      </c>
      <c r="L6" s="1">
        <v>716</v>
      </c>
      <c r="M6" s="1">
        <v>239</v>
      </c>
      <c r="N6">
        <f t="shared" si="0"/>
        <v>637.27748691099475</v>
      </c>
      <c r="P6">
        <f>AVERAGE(N6:N8)</f>
        <v>453.44329499750984</v>
      </c>
    </row>
    <row r="7" spans="1:24" ht="15.75" customHeight="1">
      <c r="A7" s="1">
        <f t="shared" ref="A7:A20" si="2">A6+1</f>
        <v>5</v>
      </c>
      <c r="B7" s="1" t="s">
        <v>21</v>
      </c>
      <c r="C7" s="1">
        <v>1</v>
      </c>
      <c r="D7" s="1" t="s">
        <v>356</v>
      </c>
      <c r="E7" s="1" t="s">
        <v>360</v>
      </c>
      <c r="F7" s="1" t="s">
        <v>21</v>
      </c>
      <c r="G7" s="101" t="s">
        <v>358</v>
      </c>
      <c r="H7" s="1" t="s">
        <v>21</v>
      </c>
      <c r="I7" s="1">
        <v>14298</v>
      </c>
      <c r="K7" s="1">
        <v>417</v>
      </c>
      <c r="L7" s="1">
        <v>352</v>
      </c>
      <c r="M7" s="1">
        <v>354</v>
      </c>
      <c r="N7">
        <f t="shared" si="0"/>
        <v>287.00239808153481</v>
      </c>
    </row>
    <row r="8" spans="1:24" ht="15.75" customHeight="1">
      <c r="A8" s="1">
        <f t="shared" si="2"/>
        <v>6</v>
      </c>
      <c r="B8" s="1" t="s">
        <v>22</v>
      </c>
      <c r="C8" s="1">
        <v>1</v>
      </c>
      <c r="D8" s="1" t="s">
        <v>356</v>
      </c>
      <c r="E8" s="1" t="s">
        <v>360</v>
      </c>
      <c r="F8" s="1" t="s">
        <v>22</v>
      </c>
      <c r="G8" s="101" t="s">
        <v>358</v>
      </c>
      <c r="H8" s="1" t="s">
        <v>22</v>
      </c>
      <c r="I8" s="1">
        <v>13810</v>
      </c>
      <c r="K8" s="1">
        <v>400</v>
      </c>
      <c r="L8" s="1">
        <v>513</v>
      </c>
      <c r="M8" s="1">
        <v>296</v>
      </c>
      <c r="N8">
        <f t="shared" si="0"/>
        <v>436.05</v>
      </c>
    </row>
    <row r="9" spans="1:24" ht="15.75" customHeight="1">
      <c r="A9" s="1">
        <f t="shared" si="2"/>
        <v>7</v>
      </c>
      <c r="B9" s="1" t="s">
        <v>23</v>
      </c>
      <c r="C9" s="1">
        <v>1</v>
      </c>
      <c r="D9" s="1" t="s">
        <v>356</v>
      </c>
      <c r="E9" s="1" t="s">
        <v>361</v>
      </c>
      <c r="F9" s="1" t="s">
        <v>23</v>
      </c>
      <c r="G9" s="101" t="s">
        <v>358</v>
      </c>
      <c r="H9" s="1" t="s">
        <v>23</v>
      </c>
      <c r="I9" s="1">
        <v>13601</v>
      </c>
      <c r="K9" s="1">
        <v>494</v>
      </c>
      <c r="L9" s="1">
        <v>306</v>
      </c>
      <c r="M9" s="1">
        <v>311</v>
      </c>
      <c r="N9">
        <f t="shared" si="0"/>
        <v>210.60728744939269</v>
      </c>
      <c r="P9">
        <f>AVERAGE(N9:N11)</f>
        <v>85.241096478906641</v>
      </c>
    </row>
    <row r="10" spans="1:24" ht="15.75" customHeight="1">
      <c r="A10" s="1">
        <f t="shared" si="2"/>
        <v>8</v>
      </c>
      <c r="B10" s="1" t="s">
        <v>24</v>
      </c>
      <c r="C10" s="1">
        <v>1</v>
      </c>
      <c r="D10" s="1" t="s">
        <v>356</v>
      </c>
      <c r="E10" s="1" t="s">
        <v>361</v>
      </c>
      <c r="F10" s="1" t="s">
        <v>24</v>
      </c>
      <c r="G10" s="101" t="s">
        <v>358</v>
      </c>
      <c r="H10" s="1" t="s">
        <v>362</v>
      </c>
      <c r="I10" s="1">
        <v>12239</v>
      </c>
      <c r="J10" s="1">
        <v>29</v>
      </c>
      <c r="K10" s="1">
        <v>709</v>
      </c>
      <c r="L10" s="1">
        <v>42</v>
      </c>
      <c r="M10" s="1">
        <v>499</v>
      </c>
      <c r="N10">
        <f t="shared" si="0"/>
        <v>20.141043723554301</v>
      </c>
      <c r="Q10" s="1">
        <v>12640</v>
      </c>
      <c r="S10" s="1">
        <v>647</v>
      </c>
      <c r="T10" s="1">
        <v>36</v>
      </c>
      <c r="U10" s="1">
        <v>426</v>
      </c>
    </row>
    <row r="11" spans="1:24" ht="15.75" customHeight="1">
      <c r="A11" s="1">
        <f t="shared" si="2"/>
        <v>9</v>
      </c>
      <c r="B11" s="1" t="s">
        <v>25</v>
      </c>
      <c r="C11" s="1">
        <v>1</v>
      </c>
      <c r="D11" s="1" t="s">
        <v>356</v>
      </c>
      <c r="E11" s="1" t="s">
        <v>361</v>
      </c>
      <c r="F11" s="1" t="s">
        <v>25</v>
      </c>
      <c r="G11" s="101" t="s">
        <v>358</v>
      </c>
      <c r="H11" s="1" t="s">
        <v>363</v>
      </c>
      <c r="I11" s="1">
        <v>13591</v>
      </c>
      <c r="J11" s="1">
        <v>8.3000000000000007</v>
      </c>
      <c r="K11" s="1">
        <v>599</v>
      </c>
      <c r="L11" s="1">
        <v>44</v>
      </c>
      <c r="M11" s="1">
        <v>423</v>
      </c>
      <c r="N11">
        <f t="shared" si="0"/>
        <v>24.974958263772955</v>
      </c>
      <c r="Q11" s="1">
        <v>11512</v>
      </c>
      <c r="S11" s="1">
        <v>565</v>
      </c>
      <c r="T11" s="1">
        <v>25</v>
      </c>
      <c r="U11" s="1">
        <v>377</v>
      </c>
    </row>
    <row r="12" spans="1:24" ht="15.75" customHeight="1">
      <c r="A12" s="1">
        <f t="shared" si="2"/>
        <v>10</v>
      </c>
      <c r="B12" s="1" t="s">
        <v>26</v>
      </c>
      <c r="C12" s="1">
        <v>1</v>
      </c>
      <c r="D12" s="1" t="s">
        <v>356</v>
      </c>
      <c r="E12" s="1" t="s">
        <v>364</v>
      </c>
      <c r="F12" s="1" t="s">
        <v>27</v>
      </c>
      <c r="G12" s="101" t="s">
        <v>358</v>
      </c>
      <c r="H12" s="1" t="s">
        <v>365</v>
      </c>
      <c r="I12" s="1">
        <v>11883</v>
      </c>
      <c r="J12" s="1">
        <v>6.7</v>
      </c>
      <c r="K12" s="1">
        <v>352</v>
      </c>
      <c r="L12" s="1">
        <v>1083</v>
      </c>
      <c r="M12" s="1">
        <v>70</v>
      </c>
      <c r="N12">
        <f t="shared" si="0"/>
        <v>1046.0795454545455</v>
      </c>
      <c r="P12">
        <f>AVERAGE(N12:N14)</f>
        <v>1154.3310524184446</v>
      </c>
      <c r="Q12" s="1">
        <v>11764</v>
      </c>
      <c r="S12" s="1">
        <v>316</v>
      </c>
      <c r="T12" s="1">
        <v>1089</v>
      </c>
      <c r="U12" s="1">
        <v>74</v>
      </c>
    </row>
    <row r="13" spans="1:24" ht="15.75" customHeight="1">
      <c r="A13" s="1">
        <f t="shared" si="2"/>
        <v>11</v>
      </c>
      <c r="B13" s="1" t="s">
        <v>27</v>
      </c>
      <c r="C13" s="1">
        <v>1</v>
      </c>
      <c r="D13" s="1" t="s">
        <v>356</v>
      </c>
      <c r="E13" s="1" t="s">
        <v>364</v>
      </c>
      <c r="F13" s="1" t="s">
        <v>28</v>
      </c>
      <c r="G13" s="101" t="s">
        <v>358</v>
      </c>
      <c r="H13" s="1" t="s">
        <v>27</v>
      </c>
      <c r="I13" s="1">
        <v>11701</v>
      </c>
      <c r="K13" s="1">
        <v>334</v>
      </c>
      <c r="L13" s="1">
        <v>1135</v>
      </c>
      <c r="M13" s="1">
        <v>55</v>
      </c>
      <c r="N13">
        <f t="shared" si="0"/>
        <v>1155.3892215568862</v>
      </c>
    </row>
    <row r="14" spans="1:24" ht="15.75" customHeight="1">
      <c r="A14" s="1">
        <f t="shared" si="2"/>
        <v>12</v>
      </c>
      <c r="B14" s="1" t="s">
        <v>28</v>
      </c>
      <c r="C14" s="1">
        <v>1</v>
      </c>
      <c r="D14" s="1" t="s">
        <v>356</v>
      </c>
      <c r="E14" s="1" t="s">
        <v>364</v>
      </c>
      <c r="F14" s="1" t="s">
        <v>29</v>
      </c>
      <c r="G14" s="101" t="s">
        <v>358</v>
      </c>
      <c r="H14" s="1" t="s">
        <v>28</v>
      </c>
      <c r="I14" s="1">
        <v>11623</v>
      </c>
      <c r="K14" s="1">
        <v>328</v>
      </c>
      <c r="L14" s="1">
        <v>1217</v>
      </c>
      <c r="M14" s="1">
        <v>30</v>
      </c>
      <c r="N14">
        <f t="shared" si="0"/>
        <v>1261.5243902439024</v>
      </c>
    </row>
    <row r="15" spans="1:24" ht="15.75" customHeight="1">
      <c r="A15" s="1">
        <f t="shared" si="2"/>
        <v>13</v>
      </c>
      <c r="B15" s="1" t="s">
        <v>29</v>
      </c>
      <c r="C15" s="1">
        <v>2</v>
      </c>
      <c r="D15" s="1" t="s">
        <v>356</v>
      </c>
      <c r="E15" s="1" t="s">
        <v>360</v>
      </c>
      <c r="F15" s="1" t="s">
        <v>293</v>
      </c>
      <c r="G15" s="101" t="s">
        <v>358</v>
      </c>
      <c r="H15" s="1" t="s">
        <v>17</v>
      </c>
      <c r="I15" s="1">
        <v>12752</v>
      </c>
      <c r="K15" s="1">
        <v>354</v>
      </c>
      <c r="L15" s="1">
        <v>810</v>
      </c>
      <c r="M15" s="1">
        <v>159</v>
      </c>
      <c r="N15">
        <f t="shared" si="0"/>
        <v>777.96610169491532</v>
      </c>
      <c r="P15">
        <f>AVERAGE(N15:N17)</f>
        <v>789.09877130987388</v>
      </c>
    </row>
    <row r="16" spans="1:24" ht="15.75" customHeight="1">
      <c r="A16" s="1">
        <f t="shared" si="2"/>
        <v>14</v>
      </c>
      <c r="B16" s="1" t="s">
        <v>30</v>
      </c>
      <c r="C16" s="1">
        <v>2</v>
      </c>
      <c r="D16" s="1" t="s">
        <v>356</v>
      </c>
      <c r="E16" s="1" t="s">
        <v>360</v>
      </c>
      <c r="F16" s="1" t="s">
        <v>293</v>
      </c>
      <c r="G16" s="101" t="s">
        <v>358</v>
      </c>
      <c r="H16" s="1" t="s">
        <v>18</v>
      </c>
      <c r="I16" s="1">
        <v>12632</v>
      </c>
      <c r="K16" s="1">
        <v>360</v>
      </c>
      <c r="L16" s="1">
        <v>799</v>
      </c>
      <c r="M16" s="1">
        <v>163</v>
      </c>
      <c r="N16">
        <f t="shared" si="0"/>
        <v>754.61111111111109</v>
      </c>
    </row>
    <row r="17" spans="1:16" ht="15.75" customHeight="1">
      <c r="A17" s="1">
        <f t="shared" si="2"/>
        <v>15</v>
      </c>
      <c r="B17" s="1" t="s">
        <v>31</v>
      </c>
      <c r="C17" s="1">
        <v>2</v>
      </c>
      <c r="D17" s="1" t="s">
        <v>356</v>
      </c>
      <c r="E17" s="1" t="s">
        <v>360</v>
      </c>
      <c r="F17" s="1" t="s">
        <v>293</v>
      </c>
      <c r="G17" s="101" t="s">
        <v>358</v>
      </c>
      <c r="H17" s="1" t="s">
        <v>19</v>
      </c>
      <c r="I17" s="1">
        <v>12470</v>
      </c>
      <c r="K17" s="1">
        <v>356</v>
      </c>
      <c r="L17" s="1">
        <v>874</v>
      </c>
      <c r="M17" s="1">
        <v>153</v>
      </c>
      <c r="N17">
        <f t="shared" si="0"/>
        <v>834.71910112359546</v>
      </c>
    </row>
    <row r="18" spans="1:16" ht="15.75" customHeight="1">
      <c r="A18" s="1">
        <f t="shared" si="2"/>
        <v>16</v>
      </c>
      <c r="B18" s="1" t="s">
        <v>32</v>
      </c>
      <c r="C18" s="1">
        <v>1</v>
      </c>
      <c r="D18" s="1" t="s">
        <v>366</v>
      </c>
      <c r="E18" s="1" t="s">
        <v>367</v>
      </c>
      <c r="F18" s="1" t="s">
        <v>17</v>
      </c>
      <c r="G18" s="102" t="s">
        <v>368</v>
      </c>
      <c r="H18" s="1" t="s">
        <v>20</v>
      </c>
      <c r="I18" s="1">
        <v>12550</v>
      </c>
      <c r="K18" s="1">
        <v>346</v>
      </c>
      <c r="L18" s="1">
        <v>880</v>
      </c>
      <c r="M18" s="1">
        <v>149</v>
      </c>
      <c r="N18">
        <f t="shared" si="0"/>
        <v>864.73988439306356</v>
      </c>
      <c r="P18">
        <f>AVERAGE(N18:N20)</f>
        <v>867.41393208093393</v>
      </c>
    </row>
    <row r="19" spans="1:16" ht="15.75" customHeight="1">
      <c r="A19" s="1">
        <f t="shared" si="2"/>
        <v>17</v>
      </c>
      <c r="B19" s="1" t="s">
        <v>34</v>
      </c>
      <c r="C19" s="1">
        <v>1</v>
      </c>
      <c r="D19" s="1" t="s">
        <v>366</v>
      </c>
      <c r="E19" s="1" t="s">
        <v>367</v>
      </c>
      <c r="F19" s="1" t="s">
        <v>18</v>
      </c>
      <c r="G19" s="102" t="s">
        <v>368</v>
      </c>
      <c r="H19" s="1" t="s">
        <v>21</v>
      </c>
      <c r="I19" s="1">
        <v>12391</v>
      </c>
      <c r="K19" s="1">
        <v>322</v>
      </c>
      <c r="L19" s="1">
        <v>841</v>
      </c>
      <c r="M19" s="1">
        <v>146</v>
      </c>
      <c r="N19">
        <f t="shared" si="0"/>
        <v>888.01242236024848</v>
      </c>
    </row>
    <row r="20" spans="1:16" ht="15.75" customHeight="1">
      <c r="A20" s="1">
        <f t="shared" si="2"/>
        <v>18</v>
      </c>
      <c r="B20" s="1" t="s">
        <v>36</v>
      </c>
      <c r="C20" s="1">
        <v>1</v>
      </c>
      <c r="D20" s="1" t="s">
        <v>366</v>
      </c>
      <c r="E20" s="1" t="s">
        <v>367</v>
      </c>
      <c r="F20" s="1" t="s">
        <v>19</v>
      </c>
      <c r="G20" s="102" t="s">
        <v>368</v>
      </c>
      <c r="H20" s="1" t="s">
        <v>22</v>
      </c>
      <c r="I20" s="1">
        <v>12513</v>
      </c>
      <c r="K20" s="1">
        <v>333</v>
      </c>
      <c r="L20" s="1">
        <v>832</v>
      </c>
      <c r="M20" s="1">
        <v>139</v>
      </c>
      <c r="N20">
        <f t="shared" si="0"/>
        <v>849.48948948948953</v>
      </c>
    </row>
    <row r="21" spans="1:16" ht="15.75" customHeight="1">
      <c r="H21">
        <f>15*200</f>
        <v>3000</v>
      </c>
    </row>
    <row r="23" spans="1:16" ht="15.75" customHeight="1">
      <c r="C23" s="1"/>
      <c r="D23" s="1" t="s">
        <v>44</v>
      </c>
      <c r="E23" s="1">
        <v>0.3</v>
      </c>
    </row>
    <row r="24" spans="1:16" ht="15.75" customHeight="1">
      <c r="C24" s="1"/>
      <c r="D24" s="1" t="s">
        <v>45</v>
      </c>
      <c r="E24" s="1" t="s">
        <v>46</v>
      </c>
      <c r="F24" s="1" t="s">
        <v>47</v>
      </c>
      <c r="G24" s="1" t="s">
        <v>300</v>
      </c>
    </row>
    <row r="25" spans="1:16" ht="15.75" customHeight="1">
      <c r="C25" s="1"/>
      <c r="D25" s="1" t="s">
        <v>301</v>
      </c>
      <c r="E25" s="1" t="s">
        <v>50</v>
      </c>
      <c r="F25" s="1"/>
    </row>
    <row r="26" spans="1:16" ht="15.75" customHeight="1">
      <c r="C26" s="1"/>
      <c r="D26" s="1" t="s">
        <v>52</v>
      </c>
      <c r="E26" s="1">
        <v>1000</v>
      </c>
      <c r="F26">
        <f>E26/$E$23-E26</f>
        <v>2333.3333333333335</v>
      </c>
      <c r="G26">
        <f>F26+E26</f>
        <v>3333.3333333333335</v>
      </c>
    </row>
    <row r="27" spans="1:16" ht="15.75" customHeight="1">
      <c r="C27" s="1"/>
      <c r="D27" s="1" t="s">
        <v>99</v>
      </c>
      <c r="E27" s="1" t="s">
        <v>50</v>
      </c>
      <c r="F27" s="1" t="s">
        <v>369</v>
      </c>
    </row>
    <row r="28" spans="1:16" ht="15.75" customHeight="1">
      <c r="C28" s="1"/>
      <c r="D28" s="1" t="s">
        <v>52</v>
      </c>
      <c r="E28" s="1">
        <v>400</v>
      </c>
      <c r="F28">
        <f>E28/($E$23*2)-E28</f>
        <v>266.66666666666674</v>
      </c>
      <c r="G28">
        <f>F28+E28</f>
        <v>666.66666666666674</v>
      </c>
    </row>
    <row r="29" spans="1:16" ht="15.75" customHeight="1">
      <c r="F29" s="1"/>
      <c r="G29" s="1"/>
    </row>
    <row r="30" spans="1:16" ht="15.75" customHeight="1">
      <c r="E30" s="1">
        <f>SUM(E26:E28)</f>
        <v>1400</v>
      </c>
      <c r="F30" s="1" t="s">
        <v>53</v>
      </c>
      <c r="G30" s="1">
        <f>SUM(G26:G27)</f>
        <v>3333.3333333333335</v>
      </c>
    </row>
    <row r="32" spans="1:16" ht="15.75" customHeight="1">
      <c r="A32" s="1" t="s">
        <v>304</v>
      </c>
    </row>
    <row r="33" spans="1:14" ht="15.75" customHeight="1">
      <c r="A33" s="1" t="s">
        <v>305</v>
      </c>
    </row>
    <row r="34" spans="1:14" ht="15.75" customHeight="1">
      <c r="A34" s="1" t="s">
        <v>306</v>
      </c>
      <c r="H34" s="1"/>
      <c r="I34" s="1"/>
    </row>
    <row r="35" spans="1:14" ht="15.75" customHeight="1">
      <c r="A35" s="1" t="s">
        <v>370</v>
      </c>
    </row>
    <row r="36" spans="1:14" ht="15.75" customHeight="1">
      <c r="A36" s="1" t="s">
        <v>371</v>
      </c>
      <c r="B36" s="100"/>
    </row>
    <row r="37" spans="1:14" ht="15.75" customHeight="1">
      <c r="A37" s="1" t="s">
        <v>372</v>
      </c>
      <c r="J37" s="1"/>
      <c r="K37" s="1"/>
      <c r="L37" s="1"/>
    </row>
    <row r="38" spans="1:14" ht="15.75" customHeight="1">
      <c r="A38" s="1" t="s">
        <v>373</v>
      </c>
      <c r="B38" s="1"/>
    </row>
    <row r="39" spans="1:14" ht="12.75">
      <c r="A39" s="1" t="s">
        <v>374</v>
      </c>
    </row>
    <row r="40" spans="1:14" ht="12.75">
      <c r="A40" s="1" t="s">
        <v>375</v>
      </c>
      <c r="B40" s="1"/>
      <c r="K40" s="1"/>
      <c r="L40" s="1"/>
      <c r="M40" s="1"/>
    </row>
    <row r="41" spans="1:14" ht="12.75">
      <c r="A41" s="1" t="s">
        <v>376</v>
      </c>
      <c r="L41" s="1"/>
      <c r="M41" s="1"/>
    </row>
    <row r="42" spans="1:14" ht="12.75">
      <c r="A42" s="1" t="s">
        <v>377</v>
      </c>
      <c r="L42" s="1"/>
      <c r="N42" s="1"/>
    </row>
    <row r="43" spans="1:14" ht="12.75">
      <c r="A43" s="1" t="s">
        <v>378</v>
      </c>
    </row>
    <row r="44" spans="1:14" ht="12.75">
      <c r="A44" s="1" t="s">
        <v>379</v>
      </c>
      <c r="N44" s="1"/>
    </row>
    <row r="45" spans="1:14" ht="12.75">
      <c r="A45" s="1"/>
    </row>
    <row r="46" spans="1:14" ht="12.75">
      <c r="A46" s="1" t="s">
        <v>380</v>
      </c>
      <c r="N46" s="1"/>
    </row>
    <row r="47" spans="1:14" ht="12.75">
      <c r="A47" s="1" t="s">
        <v>381</v>
      </c>
    </row>
    <row r="48" spans="1:14" ht="12.75">
      <c r="A48" s="1" t="s">
        <v>348</v>
      </c>
    </row>
    <row r="49" spans="1:1" ht="12.75">
      <c r="A49" s="1" t="s">
        <v>349</v>
      </c>
    </row>
    <row r="50" spans="1:1" ht="12.75">
      <c r="A50" s="1" t="s">
        <v>382</v>
      </c>
    </row>
    <row r="51" spans="1:1" ht="12.75">
      <c r="A51" s="1" t="s">
        <v>383</v>
      </c>
    </row>
    <row r="53" spans="1:1" ht="12.75">
      <c r="A53" s="1" t="s">
        <v>384</v>
      </c>
    </row>
    <row r="54" spans="1:1" ht="12.75">
      <c r="A54" s="1" t="s">
        <v>385</v>
      </c>
    </row>
    <row r="55" spans="1:1" ht="12.75">
      <c r="A55" s="1" t="s">
        <v>386</v>
      </c>
    </row>
    <row r="56" spans="1:1" ht="12.75">
      <c r="A56" s="1" t="s">
        <v>387</v>
      </c>
    </row>
    <row r="57" spans="1:1" ht="12.75">
      <c r="A57" s="1" t="s">
        <v>388</v>
      </c>
    </row>
    <row r="58" spans="1:1" ht="12.75">
      <c r="A58" s="1" t="s">
        <v>389</v>
      </c>
    </row>
    <row r="59" spans="1:1" ht="12.75">
      <c r="A59" s="1" t="s">
        <v>390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
  <sheetViews>
    <sheetView workbookViewId="0"/>
  </sheetViews>
  <sheetFormatPr defaultColWidth="14.42578125" defaultRowHeight="15.75" customHeight="1"/>
  <cols>
    <col min="4" max="4" width="19.85546875" customWidth="1"/>
    <col min="5" max="5" width="26.42578125" customWidth="1"/>
    <col min="6" max="6" width="20.42578125" customWidth="1"/>
    <col min="7" max="7" width="14.85546875" customWidth="1"/>
  </cols>
  <sheetData>
    <row r="1" spans="1:26" ht="15.75" customHeight="1">
      <c r="A1" s="1" t="s">
        <v>322</v>
      </c>
      <c r="B1" s="1" t="s">
        <v>1</v>
      </c>
      <c r="C1" s="1" t="s">
        <v>97</v>
      </c>
      <c r="D1" s="1" t="s">
        <v>391</v>
      </c>
      <c r="E1" s="1" t="s">
        <v>392</v>
      </c>
      <c r="F1" s="1" t="s">
        <v>393</v>
      </c>
      <c r="G1" s="1" t="s">
        <v>394</v>
      </c>
      <c r="H1" s="1" t="s">
        <v>395</v>
      </c>
      <c r="I1" s="1" t="s">
        <v>396</v>
      </c>
      <c r="K1" s="1" t="s">
        <v>6</v>
      </c>
      <c r="L1" s="1" t="s">
        <v>7</v>
      </c>
      <c r="M1" s="1" t="s">
        <v>8</v>
      </c>
      <c r="N1" s="1" t="s">
        <v>9</v>
      </c>
      <c r="O1" s="1" t="s">
        <v>10</v>
      </c>
      <c r="P1" s="2" t="s">
        <v>11</v>
      </c>
      <c r="R1" s="1" t="s">
        <v>13</v>
      </c>
      <c r="S1" s="103" t="s">
        <v>397</v>
      </c>
      <c r="U1" s="1" t="s">
        <v>6</v>
      </c>
      <c r="V1" s="1" t="s">
        <v>7</v>
      </c>
      <c r="W1" s="1" t="s">
        <v>8</v>
      </c>
      <c r="X1" s="1" t="s">
        <v>9</v>
      </c>
      <c r="Y1" s="1" t="s">
        <v>10</v>
      </c>
      <c r="Z1" s="1" t="s">
        <v>11</v>
      </c>
    </row>
    <row r="2" spans="1:26" ht="15.75" customHeight="1">
      <c r="P2" s="99"/>
      <c r="S2" s="1">
        <v>340</v>
      </c>
    </row>
    <row r="3" spans="1:26" ht="15.75" customHeight="1">
      <c r="A3" s="1">
        <v>1</v>
      </c>
      <c r="B3" s="1" t="s">
        <v>17</v>
      </c>
      <c r="C3" s="9">
        <v>1</v>
      </c>
      <c r="D3" s="9" t="s">
        <v>398</v>
      </c>
      <c r="E3" s="1">
        <v>0</v>
      </c>
      <c r="F3" s="1"/>
      <c r="G3" s="1">
        <v>4</v>
      </c>
      <c r="H3" s="1">
        <v>1</v>
      </c>
      <c r="K3" s="1">
        <v>14247</v>
      </c>
      <c r="L3" s="1"/>
      <c r="M3" s="1">
        <v>427</v>
      </c>
      <c r="N3" s="1">
        <v>530</v>
      </c>
      <c r="O3" s="1">
        <v>306</v>
      </c>
      <c r="P3">
        <f t="shared" ref="P3:P23" si="0">$S$2/M3*N3</f>
        <v>422.01405152224822</v>
      </c>
    </row>
    <row r="4" spans="1:26" ht="15.75" customHeight="1">
      <c r="A4" s="1">
        <f t="shared" ref="A4:A5" si="1">A3+1</f>
        <v>2</v>
      </c>
      <c r="B4" s="1" t="s">
        <v>18</v>
      </c>
      <c r="C4" s="9">
        <v>1</v>
      </c>
      <c r="D4" s="9" t="s">
        <v>398</v>
      </c>
      <c r="E4" s="1">
        <v>0</v>
      </c>
      <c r="F4" s="1"/>
      <c r="G4" s="1">
        <v>5</v>
      </c>
      <c r="H4" s="1">
        <v>1</v>
      </c>
      <c r="K4" s="1">
        <v>13069</v>
      </c>
      <c r="M4" s="1">
        <v>359</v>
      </c>
      <c r="N4" s="1">
        <v>1001</v>
      </c>
      <c r="O4" s="1">
        <v>129</v>
      </c>
      <c r="P4">
        <f t="shared" si="0"/>
        <v>948.02228412256272</v>
      </c>
    </row>
    <row r="5" spans="1:26" ht="15.75" customHeight="1">
      <c r="A5" s="1">
        <f t="shared" si="1"/>
        <v>3</v>
      </c>
      <c r="B5" s="1" t="s">
        <v>19</v>
      </c>
      <c r="C5" s="9">
        <v>1</v>
      </c>
      <c r="D5" s="9" t="s">
        <v>398</v>
      </c>
      <c r="E5" s="1">
        <v>0</v>
      </c>
      <c r="F5" s="1"/>
      <c r="G5" s="1">
        <v>6</v>
      </c>
      <c r="H5" s="1">
        <v>1</v>
      </c>
      <c r="K5" s="1">
        <v>13490</v>
      </c>
      <c r="M5" s="1">
        <v>405</v>
      </c>
      <c r="N5" s="1">
        <v>603</v>
      </c>
      <c r="O5" s="1">
        <v>255</v>
      </c>
      <c r="P5">
        <f t="shared" si="0"/>
        <v>506.22222222222217</v>
      </c>
    </row>
    <row r="6" spans="1:26" ht="15.75" customHeight="1">
      <c r="A6" s="1">
        <v>4</v>
      </c>
      <c r="B6" s="1" t="s">
        <v>20</v>
      </c>
      <c r="C6" s="9">
        <v>2</v>
      </c>
      <c r="D6" s="9" t="s">
        <v>398</v>
      </c>
      <c r="E6" s="1">
        <v>0.02</v>
      </c>
      <c r="F6" s="1"/>
      <c r="G6" s="1">
        <v>7</v>
      </c>
      <c r="H6" s="1">
        <v>1</v>
      </c>
      <c r="K6" s="1">
        <v>12299</v>
      </c>
      <c r="M6" s="1">
        <v>334</v>
      </c>
      <c r="N6" s="1">
        <v>1133</v>
      </c>
      <c r="O6" s="1">
        <v>88</v>
      </c>
      <c r="P6">
        <f t="shared" si="0"/>
        <v>1153.3532934131738</v>
      </c>
    </row>
    <row r="7" spans="1:26" ht="15.75" customHeight="1">
      <c r="A7" s="1">
        <f t="shared" ref="A7:A19" si="2">A6+1</f>
        <v>5</v>
      </c>
      <c r="B7" s="1" t="s">
        <v>21</v>
      </c>
      <c r="C7" s="9">
        <v>2</v>
      </c>
      <c r="D7" s="9" t="s">
        <v>398</v>
      </c>
      <c r="E7" s="1">
        <v>0.02</v>
      </c>
      <c r="F7" s="1"/>
      <c r="G7" s="1">
        <v>8</v>
      </c>
      <c r="H7" s="1">
        <v>1</v>
      </c>
      <c r="K7" s="1">
        <v>13016</v>
      </c>
      <c r="L7" s="1"/>
      <c r="M7" s="1">
        <v>354</v>
      </c>
      <c r="N7" s="1">
        <v>844</v>
      </c>
      <c r="O7" s="1">
        <v>192</v>
      </c>
      <c r="P7">
        <f t="shared" si="0"/>
        <v>810.62146892655369</v>
      </c>
      <c r="U7" s="1">
        <v>12031</v>
      </c>
      <c r="V7" s="1"/>
      <c r="W7" s="1">
        <v>343</v>
      </c>
      <c r="X7" s="1">
        <v>890</v>
      </c>
      <c r="Y7" s="1">
        <v>123</v>
      </c>
      <c r="Z7">
        <f>$S$2/W7*X7</f>
        <v>882.21574344023327</v>
      </c>
    </row>
    <row r="8" spans="1:26" ht="15.75" customHeight="1">
      <c r="A8" s="1">
        <f t="shared" si="2"/>
        <v>6</v>
      </c>
      <c r="B8" s="1" t="s">
        <v>22</v>
      </c>
      <c r="C8" s="9">
        <v>2</v>
      </c>
      <c r="D8" s="9" t="s">
        <v>398</v>
      </c>
      <c r="E8" s="1">
        <v>0.02</v>
      </c>
      <c r="F8" s="1"/>
      <c r="G8" s="1">
        <v>9</v>
      </c>
      <c r="H8" s="1">
        <v>1</v>
      </c>
      <c r="K8" s="1">
        <v>12763</v>
      </c>
      <c r="M8" s="1">
        <v>348</v>
      </c>
      <c r="N8" s="1">
        <v>824</v>
      </c>
      <c r="O8" s="1">
        <v>175</v>
      </c>
      <c r="P8">
        <f t="shared" si="0"/>
        <v>805.05747126436779</v>
      </c>
    </row>
    <row r="9" spans="1:26" ht="15.75" customHeight="1">
      <c r="A9" s="1">
        <f t="shared" si="2"/>
        <v>7</v>
      </c>
      <c r="B9" s="1" t="s">
        <v>23</v>
      </c>
      <c r="C9" s="9">
        <v>3</v>
      </c>
      <c r="D9" s="9" t="s">
        <v>398</v>
      </c>
      <c r="E9" s="1">
        <v>0.04</v>
      </c>
      <c r="F9" s="1"/>
      <c r="G9" s="1">
        <v>10</v>
      </c>
      <c r="H9" s="1">
        <v>1</v>
      </c>
      <c r="K9" s="1">
        <v>12701</v>
      </c>
      <c r="M9" s="1">
        <v>347</v>
      </c>
      <c r="N9" s="1">
        <v>824</v>
      </c>
      <c r="O9" s="1">
        <v>182</v>
      </c>
      <c r="P9">
        <f t="shared" si="0"/>
        <v>807.37752161383287</v>
      </c>
    </row>
    <row r="10" spans="1:26" ht="15.75" customHeight="1">
      <c r="A10" s="1">
        <f t="shared" si="2"/>
        <v>8</v>
      </c>
      <c r="B10" s="1" t="s">
        <v>24</v>
      </c>
      <c r="C10" s="9">
        <v>3</v>
      </c>
      <c r="D10" s="9" t="s">
        <v>398</v>
      </c>
      <c r="E10" s="1">
        <v>0.04</v>
      </c>
      <c r="F10" s="1"/>
      <c r="G10" s="1">
        <v>11</v>
      </c>
      <c r="H10" s="1">
        <v>1</v>
      </c>
      <c r="K10" s="1">
        <v>12489</v>
      </c>
      <c r="L10" s="1">
        <v>29.3</v>
      </c>
      <c r="M10" s="1">
        <v>510</v>
      </c>
      <c r="N10" s="1">
        <v>552</v>
      </c>
      <c r="O10" s="1">
        <v>228</v>
      </c>
      <c r="P10">
        <f t="shared" si="0"/>
        <v>368</v>
      </c>
    </row>
    <row r="11" spans="1:26" ht="15.75" customHeight="1">
      <c r="A11" s="1">
        <f t="shared" si="2"/>
        <v>9</v>
      </c>
      <c r="B11" s="1" t="s">
        <v>25</v>
      </c>
      <c r="C11" s="9">
        <v>3</v>
      </c>
      <c r="D11" s="9" t="s">
        <v>398</v>
      </c>
      <c r="E11" s="1">
        <v>0.04</v>
      </c>
      <c r="F11" s="1"/>
      <c r="G11" s="1">
        <v>12</v>
      </c>
      <c r="H11" s="1">
        <v>1</v>
      </c>
      <c r="K11" s="1">
        <v>12344</v>
      </c>
      <c r="M11" s="1">
        <v>351</v>
      </c>
      <c r="N11" s="1">
        <v>864</v>
      </c>
      <c r="O11" s="1">
        <v>165</v>
      </c>
      <c r="P11">
        <f t="shared" si="0"/>
        <v>836.92307692307691</v>
      </c>
    </row>
    <row r="12" spans="1:26" ht="15.75" customHeight="1">
      <c r="A12" s="1">
        <f t="shared" si="2"/>
        <v>10</v>
      </c>
      <c r="B12" s="1" t="s">
        <v>26</v>
      </c>
      <c r="C12" s="9">
        <v>1</v>
      </c>
      <c r="D12" s="9">
        <v>0</v>
      </c>
      <c r="E12" s="1">
        <v>0</v>
      </c>
      <c r="F12" s="1"/>
      <c r="G12" s="1">
        <v>13</v>
      </c>
      <c r="H12" s="1">
        <v>1</v>
      </c>
      <c r="K12" s="1">
        <v>12057</v>
      </c>
      <c r="M12" s="1">
        <v>327</v>
      </c>
      <c r="N12" s="1">
        <v>1094</v>
      </c>
      <c r="O12" s="1">
        <v>83</v>
      </c>
      <c r="P12">
        <f t="shared" si="0"/>
        <v>1137.492354740061</v>
      </c>
    </row>
    <row r="13" spans="1:26" ht="15.75" customHeight="1">
      <c r="A13" s="1">
        <f t="shared" si="2"/>
        <v>11</v>
      </c>
      <c r="B13" s="1" t="s">
        <v>27</v>
      </c>
      <c r="C13" s="9">
        <v>1</v>
      </c>
      <c r="D13" s="9">
        <v>0</v>
      </c>
      <c r="E13" s="1">
        <v>0</v>
      </c>
      <c r="F13" s="1"/>
      <c r="G13" s="1">
        <v>20</v>
      </c>
      <c r="H13" s="1">
        <v>2</v>
      </c>
      <c r="K13" s="1">
        <v>11968</v>
      </c>
      <c r="M13" s="1">
        <v>327</v>
      </c>
      <c r="N13" s="1">
        <v>1056</v>
      </c>
      <c r="O13" s="1">
        <v>96</v>
      </c>
      <c r="P13">
        <f t="shared" si="0"/>
        <v>1097.9816513761466</v>
      </c>
    </row>
    <row r="14" spans="1:26" ht="15.75" customHeight="1">
      <c r="A14" s="1">
        <f t="shared" si="2"/>
        <v>12</v>
      </c>
      <c r="B14" s="1" t="s">
        <v>28</v>
      </c>
      <c r="C14" s="9">
        <v>1</v>
      </c>
      <c r="D14" s="9">
        <v>0</v>
      </c>
      <c r="E14" s="1">
        <v>0</v>
      </c>
      <c r="F14" s="1"/>
      <c r="G14" s="1">
        <v>19</v>
      </c>
      <c r="H14" s="1">
        <v>2</v>
      </c>
      <c r="K14" s="1">
        <v>12352</v>
      </c>
      <c r="M14" s="1">
        <v>339</v>
      </c>
      <c r="N14" s="1">
        <v>830</v>
      </c>
      <c r="O14" s="1">
        <v>150</v>
      </c>
      <c r="P14">
        <f t="shared" si="0"/>
        <v>832.44837758112089</v>
      </c>
    </row>
    <row r="15" spans="1:26" ht="15.75" customHeight="1">
      <c r="A15" s="1">
        <f t="shared" si="2"/>
        <v>13</v>
      </c>
      <c r="B15" s="1" t="s">
        <v>29</v>
      </c>
      <c r="C15" s="9">
        <v>3</v>
      </c>
      <c r="D15" s="9">
        <v>0</v>
      </c>
      <c r="E15" s="1">
        <v>0.02</v>
      </c>
      <c r="F15" s="1"/>
      <c r="G15" s="1">
        <v>14</v>
      </c>
      <c r="H15" s="1">
        <v>1</v>
      </c>
      <c r="K15" s="1">
        <v>12128</v>
      </c>
      <c r="M15" s="1">
        <v>322</v>
      </c>
      <c r="N15" s="1">
        <v>982</v>
      </c>
      <c r="O15" s="1">
        <v>132</v>
      </c>
      <c r="P15">
        <f t="shared" si="0"/>
        <v>1036.8944099378882</v>
      </c>
    </row>
    <row r="16" spans="1:26" ht="15.75" customHeight="1">
      <c r="A16" s="1">
        <f t="shared" si="2"/>
        <v>14</v>
      </c>
      <c r="B16" s="1" t="s">
        <v>30</v>
      </c>
      <c r="C16" s="9">
        <v>3</v>
      </c>
      <c r="D16" s="9">
        <v>0</v>
      </c>
      <c r="E16" s="1">
        <v>0.02</v>
      </c>
      <c r="F16" s="1"/>
      <c r="G16" s="1">
        <v>21</v>
      </c>
      <c r="H16" s="1">
        <v>2</v>
      </c>
      <c r="K16" s="1">
        <v>12355</v>
      </c>
      <c r="M16" s="1">
        <v>328</v>
      </c>
      <c r="N16" s="1">
        <v>912</v>
      </c>
      <c r="O16" s="1">
        <v>147</v>
      </c>
      <c r="P16">
        <f t="shared" si="0"/>
        <v>945.36585365853659</v>
      </c>
    </row>
    <row r="17" spans="1:16" ht="15.75" customHeight="1">
      <c r="A17" s="1">
        <f t="shared" si="2"/>
        <v>15</v>
      </c>
      <c r="B17" s="1" t="s">
        <v>31</v>
      </c>
      <c r="C17" s="9">
        <v>3</v>
      </c>
      <c r="D17" s="9">
        <v>0</v>
      </c>
      <c r="E17" s="1">
        <v>0.02</v>
      </c>
      <c r="F17" s="1"/>
      <c r="G17" s="1">
        <v>22</v>
      </c>
      <c r="H17" s="1">
        <v>2</v>
      </c>
      <c r="K17" s="1">
        <v>12209</v>
      </c>
      <c r="M17" s="1">
        <v>335</v>
      </c>
      <c r="N17" s="1">
        <v>969</v>
      </c>
      <c r="O17" s="1">
        <v>125</v>
      </c>
      <c r="P17">
        <f t="shared" si="0"/>
        <v>983.46268656716427</v>
      </c>
    </row>
    <row r="18" spans="1:16" ht="15.75" customHeight="1">
      <c r="A18" s="1">
        <f t="shared" si="2"/>
        <v>16</v>
      </c>
      <c r="B18" s="1" t="s">
        <v>32</v>
      </c>
      <c r="C18" s="9">
        <v>1</v>
      </c>
      <c r="D18" s="9">
        <v>11</v>
      </c>
      <c r="E18" s="1">
        <v>0</v>
      </c>
      <c r="F18" s="1"/>
      <c r="G18" s="1">
        <v>15</v>
      </c>
      <c r="H18" s="1">
        <v>1</v>
      </c>
      <c r="K18" s="1">
        <v>12393</v>
      </c>
      <c r="M18" s="1">
        <v>334</v>
      </c>
      <c r="N18" s="1">
        <v>940</v>
      </c>
      <c r="O18" s="1">
        <v>119</v>
      </c>
      <c r="P18">
        <f t="shared" si="0"/>
        <v>956.88622754491018</v>
      </c>
    </row>
    <row r="19" spans="1:16" ht="15.75" customHeight="1">
      <c r="A19" s="1">
        <f t="shared" si="2"/>
        <v>17</v>
      </c>
      <c r="B19" s="1" t="s">
        <v>34</v>
      </c>
      <c r="C19" s="9">
        <v>1</v>
      </c>
      <c r="D19" s="9">
        <v>11</v>
      </c>
      <c r="E19" s="1">
        <v>0</v>
      </c>
      <c r="F19" s="1"/>
      <c r="G19" s="1">
        <v>23</v>
      </c>
      <c r="H19" s="1">
        <v>2</v>
      </c>
      <c r="K19" s="1">
        <v>12358</v>
      </c>
      <c r="M19" s="1">
        <v>335</v>
      </c>
      <c r="N19" s="1">
        <v>922</v>
      </c>
      <c r="O19" s="1">
        <v>141</v>
      </c>
      <c r="P19">
        <f t="shared" si="0"/>
        <v>935.7611940298508</v>
      </c>
    </row>
    <row r="20" spans="1:16" ht="15.75" customHeight="1">
      <c r="A20" s="1">
        <v>18</v>
      </c>
      <c r="B20" s="1" t="s">
        <v>36</v>
      </c>
      <c r="C20" s="9">
        <v>1</v>
      </c>
      <c r="D20" s="9">
        <v>11</v>
      </c>
      <c r="E20" s="1">
        <v>0</v>
      </c>
      <c r="F20" s="1"/>
      <c r="G20" s="1">
        <v>24</v>
      </c>
      <c r="H20" s="1">
        <v>2</v>
      </c>
      <c r="K20" s="1">
        <v>12195</v>
      </c>
      <c r="M20" s="1">
        <v>326</v>
      </c>
      <c r="N20" s="1">
        <v>1024</v>
      </c>
      <c r="O20" s="1">
        <v>177</v>
      </c>
      <c r="P20">
        <f t="shared" si="0"/>
        <v>1067.9754601226994</v>
      </c>
    </row>
    <row r="21" spans="1:16" ht="15.75" customHeight="1">
      <c r="A21" s="1">
        <f t="shared" ref="A21:A23" si="3">A20+1</f>
        <v>19</v>
      </c>
      <c r="B21" s="1" t="s">
        <v>38</v>
      </c>
      <c r="C21" s="9">
        <v>3</v>
      </c>
      <c r="D21" s="9">
        <v>11</v>
      </c>
      <c r="E21" s="1">
        <v>0.02</v>
      </c>
      <c r="F21" s="1" t="s">
        <v>399</v>
      </c>
      <c r="G21" s="1">
        <v>16</v>
      </c>
      <c r="H21" s="1">
        <v>1</v>
      </c>
      <c r="I21" s="1"/>
      <c r="J21" s="1"/>
      <c r="K21" s="1">
        <v>11693</v>
      </c>
      <c r="M21" s="1">
        <v>314</v>
      </c>
      <c r="N21" s="1">
        <v>1108</v>
      </c>
      <c r="O21" s="1">
        <v>94</v>
      </c>
      <c r="P21">
        <f t="shared" si="0"/>
        <v>1199.7452229299363</v>
      </c>
    </row>
    <row r="22" spans="1:16" ht="15.75" customHeight="1">
      <c r="A22" s="1">
        <f t="shared" si="3"/>
        <v>20</v>
      </c>
      <c r="B22" s="1" t="s">
        <v>40</v>
      </c>
      <c r="C22" s="9">
        <v>3</v>
      </c>
      <c r="D22" s="9">
        <v>11</v>
      </c>
      <c r="E22" s="1">
        <v>0.02</v>
      </c>
      <c r="F22" s="1"/>
      <c r="G22" s="1">
        <v>25</v>
      </c>
      <c r="H22" s="1">
        <v>2</v>
      </c>
      <c r="I22" s="1"/>
      <c r="J22" s="1"/>
      <c r="K22" s="1">
        <v>12216</v>
      </c>
      <c r="L22" s="1">
        <v>19</v>
      </c>
      <c r="M22" s="1">
        <v>474</v>
      </c>
      <c r="N22" s="1">
        <v>614</v>
      </c>
      <c r="O22" s="1">
        <v>224</v>
      </c>
      <c r="P22">
        <f t="shared" si="0"/>
        <v>440.42194092827003</v>
      </c>
    </row>
    <row r="23" spans="1:16" ht="15.75" customHeight="1">
      <c r="A23" s="1">
        <f t="shared" si="3"/>
        <v>21</v>
      </c>
      <c r="B23" s="1" t="s">
        <v>42</v>
      </c>
      <c r="C23" s="9">
        <v>3</v>
      </c>
      <c r="D23" s="9">
        <v>11</v>
      </c>
      <c r="E23" s="1">
        <v>0.02</v>
      </c>
      <c r="F23" s="1"/>
      <c r="G23" s="1">
        <v>26</v>
      </c>
      <c r="H23" s="1">
        <v>2</v>
      </c>
      <c r="I23" s="1"/>
      <c r="J23" s="1"/>
      <c r="K23" s="1">
        <v>12529</v>
      </c>
      <c r="M23" s="1">
        <v>352</v>
      </c>
      <c r="N23" s="1">
        <v>819</v>
      </c>
      <c r="O23" s="1">
        <v>186</v>
      </c>
      <c r="P23">
        <f t="shared" si="0"/>
        <v>791.0795454545455</v>
      </c>
    </row>
    <row r="24" spans="1:16" ht="15.75" customHeight="1">
      <c r="A24" s="104">
        <v>22</v>
      </c>
      <c r="B24" s="104" t="s">
        <v>400</v>
      </c>
      <c r="C24" s="104">
        <v>4</v>
      </c>
      <c r="D24" s="104"/>
      <c r="E24" s="104">
        <v>0.02</v>
      </c>
      <c r="F24" s="104" t="s">
        <v>369</v>
      </c>
      <c r="G24" s="105"/>
      <c r="H24" s="105"/>
      <c r="I24" s="1"/>
      <c r="J24" s="1"/>
      <c r="K24" s="1"/>
      <c r="M24" s="1"/>
      <c r="N24" s="1"/>
      <c r="O24" s="1"/>
    </row>
    <row r="25" spans="1:16" ht="15.75" customHeight="1">
      <c r="A25" s="105">
        <v>23</v>
      </c>
      <c r="B25" s="105" t="s">
        <v>401</v>
      </c>
      <c r="C25" s="105">
        <v>4</v>
      </c>
      <c r="D25" s="105"/>
      <c r="E25" s="105">
        <v>0.02</v>
      </c>
      <c r="F25" s="105" t="s">
        <v>369</v>
      </c>
      <c r="G25" s="105"/>
      <c r="H25" s="105"/>
    </row>
    <row r="26" spans="1:16" ht="15.75" customHeight="1">
      <c r="A26" s="105">
        <v>24</v>
      </c>
      <c r="B26" s="105" t="s">
        <v>402</v>
      </c>
      <c r="C26" s="105">
        <v>4</v>
      </c>
      <c r="D26" s="105"/>
      <c r="E26" s="105">
        <v>0.02</v>
      </c>
      <c r="F26" s="105" t="s">
        <v>369</v>
      </c>
      <c r="G26" s="105"/>
      <c r="H26" s="105"/>
    </row>
    <row r="27" spans="1:16" ht="15.75" customHeight="1">
      <c r="A27" s="1">
        <v>25</v>
      </c>
      <c r="B27" s="1" t="s">
        <v>403</v>
      </c>
      <c r="C27" s="1">
        <v>5</v>
      </c>
      <c r="D27" s="1">
        <v>11</v>
      </c>
      <c r="E27" s="1" t="s">
        <v>404</v>
      </c>
      <c r="F27" s="1" t="s">
        <v>405</v>
      </c>
      <c r="G27" s="1">
        <v>1</v>
      </c>
      <c r="H27" s="1">
        <v>1</v>
      </c>
      <c r="I27" s="1" t="s">
        <v>406</v>
      </c>
      <c r="K27" s="1">
        <v>11505</v>
      </c>
      <c r="M27" s="1">
        <v>309</v>
      </c>
      <c r="N27" s="1">
        <v>1233</v>
      </c>
      <c r="O27" s="1">
        <v>38</v>
      </c>
      <c r="P27">
        <f t="shared" ref="P27:P35" si="4">$S$2/M27*N27</f>
        <v>1356.6990291262136</v>
      </c>
    </row>
    <row r="28" spans="1:16" ht="15.75" customHeight="1">
      <c r="A28" s="1">
        <v>26</v>
      </c>
      <c r="B28" s="1" t="s">
        <v>407</v>
      </c>
      <c r="C28" s="1">
        <v>5</v>
      </c>
      <c r="D28" s="1">
        <v>11</v>
      </c>
      <c r="E28" s="1" t="s">
        <v>404</v>
      </c>
      <c r="F28" s="1" t="s">
        <v>405</v>
      </c>
      <c r="G28" s="1">
        <v>2</v>
      </c>
      <c r="H28" s="1">
        <v>1</v>
      </c>
      <c r="I28" s="1" t="s">
        <v>406</v>
      </c>
      <c r="K28" s="1">
        <v>11295</v>
      </c>
      <c r="M28" s="1">
        <v>309</v>
      </c>
      <c r="N28" s="1">
        <v>1232</v>
      </c>
      <c r="O28" s="1">
        <v>30</v>
      </c>
      <c r="P28">
        <f t="shared" si="4"/>
        <v>1355.5987055016183</v>
      </c>
    </row>
    <row r="29" spans="1:16" ht="15.75" customHeight="1">
      <c r="A29" s="1">
        <v>27</v>
      </c>
      <c r="B29" s="1" t="s">
        <v>408</v>
      </c>
      <c r="C29" s="1">
        <v>5</v>
      </c>
      <c r="D29" s="1">
        <v>11</v>
      </c>
      <c r="E29" s="1" t="s">
        <v>404</v>
      </c>
      <c r="F29" s="1" t="s">
        <v>405</v>
      </c>
      <c r="G29" s="1">
        <v>3</v>
      </c>
      <c r="H29" s="1">
        <v>1</v>
      </c>
      <c r="I29" s="1" t="s">
        <v>406</v>
      </c>
      <c r="K29" s="1">
        <v>11342</v>
      </c>
      <c r="M29" s="1">
        <v>306</v>
      </c>
      <c r="N29" s="1">
        <v>1208</v>
      </c>
      <c r="O29" s="1">
        <v>36</v>
      </c>
      <c r="P29">
        <f t="shared" si="4"/>
        <v>1342.2222222222222</v>
      </c>
    </row>
    <row r="30" spans="1:16" ht="15.75" customHeight="1">
      <c r="A30" s="1">
        <v>28</v>
      </c>
      <c r="B30" s="1" t="s">
        <v>409</v>
      </c>
      <c r="C30" s="1">
        <v>1</v>
      </c>
      <c r="D30" s="1">
        <v>33</v>
      </c>
      <c r="E30" s="1">
        <v>0</v>
      </c>
      <c r="G30" s="1">
        <v>17</v>
      </c>
      <c r="H30" s="1">
        <v>1</v>
      </c>
      <c r="K30" s="1">
        <v>11798</v>
      </c>
      <c r="M30" s="1">
        <v>316</v>
      </c>
      <c r="N30" s="1">
        <v>1148</v>
      </c>
      <c r="O30" s="1">
        <v>54</v>
      </c>
      <c r="P30">
        <f t="shared" si="4"/>
        <v>1235.1898734177214</v>
      </c>
    </row>
    <row r="31" spans="1:16" ht="15.75" customHeight="1">
      <c r="A31" s="1">
        <v>29</v>
      </c>
      <c r="B31" s="1" t="s">
        <v>410</v>
      </c>
      <c r="C31" s="1">
        <v>1</v>
      </c>
      <c r="D31" s="1">
        <v>33</v>
      </c>
      <c r="E31" s="1">
        <v>0</v>
      </c>
      <c r="G31" s="1">
        <v>27</v>
      </c>
      <c r="H31" s="1">
        <v>2</v>
      </c>
      <c r="K31" s="1">
        <v>12864</v>
      </c>
      <c r="M31" s="1">
        <v>357</v>
      </c>
      <c r="N31" s="1">
        <v>717</v>
      </c>
      <c r="O31" s="1">
        <v>212</v>
      </c>
      <c r="P31">
        <f t="shared" si="4"/>
        <v>682.85714285714278</v>
      </c>
    </row>
    <row r="32" spans="1:16" ht="15.75" customHeight="1">
      <c r="A32" s="1">
        <v>30</v>
      </c>
      <c r="B32" s="1" t="s">
        <v>411</v>
      </c>
      <c r="C32" s="1">
        <v>1</v>
      </c>
      <c r="D32" s="1">
        <v>33</v>
      </c>
      <c r="E32" s="1">
        <v>0</v>
      </c>
      <c r="G32" s="1">
        <v>28</v>
      </c>
      <c r="H32" s="1">
        <v>2</v>
      </c>
      <c r="K32" s="1">
        <v>11871</v>
      </c>
      <c r="M32" s="1">
        <v>320</v>
      </c>
      <c r="N32" s="1">
        <v>1135</v>
      </c>
      <c r="O32" s="1">
        <v>59</v>
      </c>
      <c r="P32">
        <f t="shared" si="4"/>
        <v>1205.9375</v>
      </c>
    </row>
    <row r="33" spans="1:16" ht="15.75" customHeight="1">
      <c r="A33" s="1">
        <v>31</v>
      </c>
      <c r="B33" s="1" t="s">
        <v>412</v>
      </c>
      <c r="C33" s="1">
        <v>3</v>
      </c>
      <c r="D33" s="1">
        <v>33</v>
      </c>
      <c r="E33" s="1">
        <v>0.02</v>
      </c>
      <c r="G33" s="1">
        <v>18</v>
      </c>
      <c r="H33" s="1">
        <v>1</v>
      </c>
      <c r="K33" s="1">
        <v>12416</v>
      </c>
      <c r="M33" s="1">
        <v>335</v>
      </c>
      <c r="N33" s="1">
        <v>892</v>
      </c>
      <c r="O33" s="1">
        <v>169</v>
      </c>
      <c r="P33">
        <f t="shared" si="4"/>
        <v>905.31343283582089</v>
      </c>
    </row>
    <row r="34" spans="1:16" ht="15.75" customHeight="1">
      <c r="A34" s="1">
        <v>32</v>
      </c>
      <c r="B34" s="1" t="s">
        <v>413</v>
      </c>
      <c r="C34" s="1">
        <v>3</v>
      </c>
      <c r="D34" s="1">
        <v>33</v>
      </c>
      <c r="E34" s="1">
        <v>0.02</v>
      </c>
      <c r="G34" s="1">
        <v>29</v>
      </c>
      <c r="H34" s="1">
        <v>2</v>
      </c>
      <c r="K34" s="1">
        <v>12443</v>
      </c>
      <c r="M34" s="1">
        <v>334</v>
      </c>
      <c r="N34" s="1">
        <v>863</v>
      </c>
      <c r="O34" s="1">
        <v>173</v>
      </c>
      <c r="P34">
        <f t="shared" si="4"/>
        <v>878.50299401197606</v>
      </c>
    </row>
    <row r="35" spans="1:16" ht="15.75" customHeight="1">
      <c r="A35" s="1">
        <v>33</v>
      </c>
      <c r="B35" s="1" t="s">
        <v>414</v>
      </c>
      <c r="C35" s="1">
        <v>3</v>
      </c>
      <c r="D35" s="1">
        <v>33</v>
      </c>
      <c r="E35" s="1">
        <v>0.02</v>
      </c>
      <c r="G35" s="1">
        <v>30</v>
      </c>
      <c r="H35" s="1">
        <v>2</v>
      </c>
      <c r="K35" s="1">
        <v>11634</v>
      </c>
      <c r="M35" s="1">
        <v>317</v>
      </c>
      <c r="N35" s="1">
        <v>1133</v>
      </c>
      <c r="O35" s="1">
        <v>70</v>
      </c>
      <c r="P35">
        <f t="shared" si="4"/>
        <v>1215.2050473186121</v>
      </c>
    </row>
    <row r="36" spans="1:16" ht="15.75" customHeight="1">
      <c r="A36" s="1"/>
      <c r="H36">
        <f>SUM(H3:H35)</f>
        <v>42</v>
      </c>
    </row>
    <row r="40" spans="1:16" ht="12.75">
      <c r="C40" s="1" t="s">
        <v>44</v>
      </c>
      <c r="D40" s="1">
        <v>0.3</v>
      </c>
      <c r="G40" s="1"/>
      <c r="H40" s="1"/>
    </row>
    <row r="41" spans="1:16" ht="12.75">
      <c r="C41" s="1" t="s">
        <v>45</v>
      </c>
      <c r="D41" s="1" t="s">
        <v>46</v>
      </c>
      <c r="E41" s="1" t="s">
        <v>47</v>
      </c>
      <c r="F41" s="1" t="s">
        <v>300</v>
      </c>
    </row>
    <row r="42" spans="1:16" ht="12.75">
      <c r="A42" s="1"/>
      <c r="B42" s="100"/>
      <c r="C42" s="1" t="s">
        <v>301</v>
      </c>
      <c r="D42" s="1" t="s">
        <v>50</v>
      </c>
      <c r="E42" s="1" t="s">
        <v>415</v>
      </c>
    </row>
    <row r="43" spans="1:16" ht="12.75">
      <c r="C43" s="1" t="s">
        <v>52</v>
      </c>
      <c r="D43" s="1">
        <v>800</v>
      </c>
      <c r="E43">
        <f>D43/$D$40-D43</f>
        <v>1866.666666666667</v>
      </c>
      <c r="F43">
        <f>E43+D43</f>
        <v>2666.666666666667</v>
      </c>
      <c r="H43">
        <f>E43/2</f>
        <v>933.33333333333348</v>
      </c>
      <c r="I43" s="1"/>
      <c r="J43" s="1"/>
      <c r="K43" s="1"/>
    </row>
    <row r="44" spans="1:16" ht="12.75">
      <c r="A44" s="1"/>
      <c r="B44" s="1"/>
      <c r="C44" s="1" t="s">
        <v>99</v>
      </c>
      <c r="D44" s="1" t="s">
        <v>50</v>
      </c>
      <c r="E44" s="1" t="s">
        <v>416</v>
      </c>
    </row>
    <row r="45" spans="1:16" ht="12.75">
      <c r="C45" s="1" t="s">
        <v>52</v>
      </c>
      <c r="D45" s="1">
        <v>200</v>
      </c>
      <c r="E45">
        <f>D45/$D$40-D45</f>
        <v>466.66666666666674</v>
      </c>
      <c r="F45">
        <f>E45+D45</f>
        <v>666.66666666666674</v>
      </c>
    </row>
    <row r="46" spans="1:16" ht="12.75">
      <c r="B46" s="1"/>
      <c r="C46" s="1" t="s">
        <v>101</v>
      </c>
      <c r="D46" s="1" t="s">
        <v>50</v>
      </c>
      <c r="E46" s="1" t="s">
        <v>417</v>
      </c>
      <c r="J46" s="1">
        <v>0.02</v>
      </c>
      <c r="K46" s="1" t="s">
        <v>56</v>
      </c>
      <c r="L46" s="1">
        <v>200</v>
      </c>
    </row>
    <row r="47" spans="1:16" ht="12.75">
      <c r="C47" s="1" t="s">
        <v>52</v>
      </c>
      <c r="D47" s="1">
        <v>800</v>
      </c>
      <c r="E47">
        <f>D47/$D$40-D47</f>
        <v>1866.666666666667</v>
      </c>
      <c r="F47">
        <f>E47+D47</f>
        <v>2666.666666666667</v>
      </c>
      <c r="J47">
        <f>J46*0.46667</f>
        <v>9.3334000000000004E-3</v>
      </c>
      <c r="K47" s="1" t="s">
        <v>70</v>
      </c>
      <c r="L47" s="1">
        <v>140</v>
      </c>
    </row>
    <row r="48" spans="1:16" ht="12.75">
      <c r="A48" s="1"/>
      <c r="C48" s="105" t="s">
        <v>103</v>
      </c>
      <c r="D48" s="105" t="s">
        <v>50</v>
      </c>
      <c r="E48" s="105" t="s">
        <v>418</v>
      </c>
      <c r="F48" s="105"/>
      <c r="J48">
        <f>J47/0.666667</f>
        <v>1.4000092999953501E-2</v>
      </c>
      <c r="K48" s="1" t="s">
        <v>56</v>
      </c>
      <c r="L48">
        <f>666.7-L47-L46</f>
        <v>326.70000000000005</v>
      </c>
      <c r="M48" s="1" t="s">
        <v>419</v>
      </c>
    </row>
    <row r="49" spans="1:13" ht="12.75">
      <c r="A49" s="1"/>
      <c r="C49" s="105" t="s">
        <v>52</v>
      </c>
      <c r="D49" s="105">
        <v>400</v>
      </c>
      <c r="E49" s="106">
        <f>D49/0.6-D49</f>
        <v>266.66666666666674</v>
      </c>
      <c r="F49" s="106">
        <f>E49+D49</f>
        <v>666.66666666666674</v>
      </c>
    </row>
    <row r="50" spans="1:13" ht="12.75">
      <c r="A50" s="1"/>
      <c r="C50" s="1" t="s">
        <v>105</v>
      </c>
      <c r="D50" s="1" t="s">
        <v>50</v>
      </c>
      <c r="E50" s="1" t="s">
        <v>420</v>
      </c>
      <c r="F50" s="1"/>
      <c r="L50">
        <f>J47/0.3267</f>
        <v>2.856871747780839E-2</v>
      </c>
      <c r="M50" s="1" t="s">
        <v>56</v>
      </c>
    </row>
    <row r="51" spans="1:13" ht="12.75">
      <c r="A51" s="1"/>
      <c r="C51" s="1" t="s">
        <v>52</v>
      </c>
      <c r="D51" s="1">
        <v>200</v>
      </c>
      <c r="E51">
        <f>D51/$D$40-D51</f>
        <v>466.66666666666674</v>
      </c>
      <c r="F51">
        <f>E51+D51</f>
        <v>666.66666666666674</v>
      </c>
    </row>
    <row r="52" spans="1:13" ht="12.75">
      <c r="A52" s="1"/>
      <c r="E52" s="1"/>
      <c r="F52" s="1"/>
      <c r="L52">
        <f>0.02/L50</f>
        <v>0.70006642809694208</v>
      </c>
      <c r="M52" s="1" t="s">
        <v>63</v>
      </c>
    </row>
    <row r="53" spans="1:13" ht="12.75">
      <c r="A53" s="1"/>
      <c r="D53" s="1">
        <f>SUM(D43:D47)</f>
        <v>1800</v>
      </c>
      <c r="E53" s="1" t="s">
        <v>53</v>
      </c>
      <c r="F53" s="1">
        <f>SUM(F43:F47)</f>
        <v>6000.0000000000009</v>
      </c>
    </row>
    <row r="54" spans="1:13" ht="12.75">
      <c r="A54" s="1"/>
      <c r="L54">
        <f>L50*0.3267</f>
        <v>9.3334000000000004E-3</v>
      </c>
    </row>
    <row r="55" spans="1:13" ht="12.75">
      <c r="A55" s="1"/>
    </row>
    <row r="56" spans="1:13" ht="12.75">
      <c r="A56" s="1" t="s">
        <v>421</v>
      </c>
    </row>
    <row r="57" spans="1:13" ht="12.75">
      <c r="A57" s="1" t="s">
        <v>422</v>
      </c>
    </row>
    <row r="58" spans="1:13" ht="12.75">
      <c r="A58" s="1" t="s">
        <v>423</v>
      </c>
    </row>
    <row r="59" spans="1:13" ht="12.75">
      <c r="A59" s="1" t="s">
        <v>424</v>
      </c>
      <c r="K59" s="1"/>
    </row>
    <row r="60" spans="1:13" ht="12.75">
      <c r="A60" s="1" t="s">
        <v>425</v>
      </c>
      <c r="K60" s="1"/>
    </row>
    <row r="61" spans="1:13" ht="12.75">
      <c r="A61" s="1" t="s">
        <v>426</v>
      </c>
      <c r="K61" s="1"/>
    </row>
    <row r="62" spans="1:13" ht="12.75">
      <c r="A62" s="1" t="s">
        <v>427</v>
      </c>
      <c r="K62" s="1"/>
    </row>
    <row r="63" spans="1:13" ht="12.75">
      <c r="A63" s="1" t="s">
        <v>428</v>
      </c>
      <c r="K63" s="1"/>
    </row>
    <row r="64" spans="1:13" ht="12.75">
      <c r="A64" s="1" t="s">
        <v>429</v>
      </c>
      <c r="K64" s="1"/>
    </row>
    <row r="65" spans="1:11" ht="12.75">
      <c r="A65" s="1" t="s">
        <v>430</v>
      </c>
      <c r="K65" s="1"/>
    </row>
    <row r="66" spans="1:11" ht="12.75">
      <c r="A66" s="1" t="s">
        <v>431</v>
      </c>
      <c r="K66" s="1"/>
    </row>
    <row r="67" spans="1:11" ht="12.75">
      <c r="A67" s="1" t="s">
        <v>432</v>
      </c>
      <c r="K67" s="1"/>
    </row>
    <row r="68" spans="1:11" ht="12.75">
      <c r="A68" s="1" t="s">
        <v>433</v>
      </c>
      <c r="K68" s="1"/>
    </row>
    <row r="69" spans="1:11" ht="12.75">
      <c r="A69" s="1"/>
      <c r="K69" s="1"/>
    </row>
    <row r="70" spans="1:11" ht="12.75">
      <c r="A70" s="1" t="s">
        <v>434</v>
      </c>
      <c r="K70" s="1"/>
    </row>
    <row r="71" spans="1:11" ht="12.75">
      <c r="A71" s="1" t="s">
        <v>435</v>
      </c>
    </row>
    <row r="72" spans="1:11" ht="12.75">
      <c r="A72" s="1" t="s">
        <v>436</v>
      </c>
    </row>
    <row r="73" spans="1:11" ht="12.75">
      <c r="A73" s="1" t="s">
        <v>437</v>
      </c>
    </row>
    <row r="74" spans="1:11" ht="12.75">
      <c r="A74" s="1" t="s">
        <v>438</v>
      </c>
    </row>
    <row r="75" spans="1:11" ht="12.75">
      <c r="A75" s="1" t="s">
        <v>439</v>
      </c>
    </row>
    <row r="76" spans="1:11" ht="12.75">
      <c r="A76" s="1" t="s">
        <v>440</v>
      </c>
    </row>
    <row r="78" spans="1:11" ht="12.75">
      <c r="A78" s="1" t="s">
        <v>441</v>
      </c>
    </row>
    <row r="79" spans="1:11" ht="12.75">
      <c r="A79" s="1" t="s">
        <v>442</v>
      </c>
    </row>
    <row r="80" spans="1:11" ht="12.75">
      <c r="A80" s="1" t="s">
        <v>443</v>
      </c>
    </row>
    <row r="81" spans="1:14" ht="12.75">
      <c r="A81" s="1" t="s">
        <v>444</v>
      </c>
    </row>
    <row r="82" spans="1:14" ht="12.75">
      <c r="A82" s="1" t="s">
        <v>445</v>
      </c>
      <c r="K82" s="1"/>
      <c r="N82" s="1"/>
    </row>
    <row r="83" spans="1:14" ht="12.75">
      <c r="A83" s="1" t="s">
        <v>446</v>
      </c>
      <c r="K83" s="1"/>
      <c r="N83" s="1"/>
    </row>
    <row r="84" spans="1:14" ht="12.75">
      <c r="A84" s="1"/>
      <c r="K84" s="1"/>
      <c r="N84" s="1"/>
    </row>
    <row r="85" spans="1:14" ht="12.75">
      <c r="A85" s="1"/>
      <c r="K85" s="1"/>
      <c r="N85" s="1"/>
    </row>
    <row r="86" spans="1:14" ht="12.75">
      <c r="A86" s="1"/>
      <c r="K86" s="1"/>
      <c r="N86" s="1"/>
    </row>
    <row r="87" spans="1:14" ht="12.75">
      <c r="A87" s="1"/>
      <c r="K87" s="1"/>
      <c r="N87" s="1"/>
    </row>
    <row r="88" spans="1:14" ht="12.75">
      <c r="K88" s="1"/>
      <c r="N88" s="1"/>
    </row>
    <row r="89" spans="1:14" ht="12.75">
      <c r="K89" s="1"/>
      <c r="N89" s="1"/>
    </row>
    <row r="90" spans="1:14" ht="12.75">
      <c r="K90" s="1"/>
      <c r="N90" s="1"/>
    </row>
    <row r="91" spans="1:14" ht="12.75">
      <c r="K91" s="1"/>
      <c r="N91" s="1"/>
    </row>
    <row r="92" spans="1:14" ht="12.75">
      <c r="K92" s="1"/>
      <c r="N92" s="1"/>
    </row>
    <row r="93" spans="1:14" ht="12.75">
      <c r="K93" s="1"/>
      <c r="N93" s="1"/>
    </row>
    <row r="94" spans="1:14" ht="12.75">
      <c r="K94" s="1"/>
      <c r="N94" s="1"/>
    </row>
    <row r="95" spans="1:14" ht="12.75">
      <c r="K95" s="1"/>
      <c r="N95" s="1"/>
    </row>
    <row r="96" spans="1:14" ht="12.75">
      <c r="K96" s="1"/>
      <c r="N96" s="1"/>
    </row>
    <row r="97" spans="1:14" ht="12.75">
      <c r="A97" s="1"/>
      <c r="K97" s="1"/>
      <c r="N97" s="1"/>
    </row>
    <row r="98" spans="1:14" ht="12.75">
      <c r="A98" s="1"/>
      <c r="K98" s="1"/>
      <c r="N98" s="1"/>
    </row>
    <row r="99" spans="1:14" ht="12.75">
      <c r="A99" s="1"/>
      <c r="K99" s="1"/>
      <c r="N99" s="1"/>
    </row>
    <row r="100" spans="1:14" ht="12.75">
      <c r="A100" s="1"/>
      <c r="K100" s="1"/>
      <c r="N100" s="1"/>
    </row>
    <row r="101" spans="1:14" ht="12.75">
      <c r="A101" s="1"/>
      <c r="K101" s="1"/>
      <c r="N101" s="1"/>
    </row>
    <row r="102" spans="1:14" ht="12.75">
      <c r="A102" s="1"/>
      <c r="K102" s="1"/>
      <c r="N102" s="1"/>
    </row>
    <row r="103" spans="1:14" ht="12.75">
      <c r="K103" s="1"/>
      <c r="N103" s="1"/>
    </row>
    <row r="104" spans="1:14" ht="12.75">
      <c r="K104" s="1"/>
      <c r="N104"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workbookViewId="0"/>
  </sheetViews>
  <sheetFormatPr defaultColWidth="14.42578125" defaultRowHeight="15.75" customHeight="1"/>
  <cols>
    <col min="4" max="4" width="19.85546875" customWidth="1"/>
    <col min="5" max="5" width="22.5703125" customWidth="1"/>
  </cols>
  <sheetData>
    <row r="1" spans="1:24" ht="15.75" customHeight="1">
      <c r="A1" s="1" t="s">
        <v>322</v>
      </c>
      <c r="B1" s="1" t="s">
        <v>1</v>
      </c>
      <c r="C1" s="1" t="s">
        <v>97</v>
      </c>
      <c r="D1" s="1" t="s">
        <v>447</v>
      </c>
      <c r="E1" s="1" t="s">
        <v>392</v>
      </c>
      <c r="F1" s="1" t="s">
        <v>395</v>
      </c>
      <c r="G1" s="1" t="s">
        <v>396</v>
      </c>
      <c r="I1" s="1" t="s">
        <v>6</v>
      </c>
      <c r="J1" s="1" t="s">
        <v>7</v>
      </c>
      <c r="K1" s="1" t="s">
        <v>8</v>
      </c>
      <c r="L1" s="1" t="s">
        <v>9</v>
      </c>
      <c r="M1" s="1" t="s">
        <v>10</v>
      </c>
      <c r="N1" s="2" t="s">
        <v>11</v>
      </c>
      <c r="P1" s="1" t="s">
        <v>13</v>
      </c>
      <c r="Q1" s="103" t="s">
        <v>397</v>
      </c>
      <c r="S1" s="1" t="s">
        <v>6</v>
      </c>
      <c r="T1" s="1" t="s">
        <v>7</v>
      </c>
      <c r="U1" s="1" t="s">
        <v>8</v>
      </c>
      <c r="V1" s="1" t="s">
        <v>9</v>
      </c>
      <c r="W1" s="1" t="s">
        <v>10</v>
      </c>
      <c r="X1" s="1" t="s">
        <v>11</v>
      </c>
    </row>
    <row r="2" spans="1:24" ht="15.75" customHeight="1">
      <c r="N2" s="99"/>
      <c r="Q2" s="1">
        <v>340</v>
      </c>
    </row>
    <row r="3" spans="1:24" ht="15.75" customHeight="1">
      <c r="A3" s="1">
        <v>1</v>
      </c>
      <c r="B3" s="1" t="s">
        <v>17</v>
      </c>
      <c r="C3" s="9">
        <v>1</v>
      </c>
      <c r="D3" s="9">
        <v>6</v>
      </c>
      <c r="E3" s="1">
        <v>0</v>
      </c>
      <c r="F3" s="1">
        <v>1</v>
      </c>
      <c r="G3" s="1" t="s">
        <v>448</v>
      </c>
      <c r="I3" s="1">
        <v>12038</v>
      </c>
      <c r="J3" s="1"/>
      <c r="K3" s="1">
        <v>323</v>
      </c>
      <c r="L3" s="1">
        <v>1292</v>
      </c>
      <c r="M3" s="1">
        <v>22</v>
      </c>
      <c r="N3">
        <f t="shared" ref="N3:N24" si="0">$Q$2/K3*L3</f>
        <v>1360</v>
      </c>
    </row>
    <row r="4" spans="1:24" ht="15.75" customHeight="1">
      <c r="A4" s="1">
        <f t="shared" ref="A4:A5" si="1">A3+1</f>
        <v>2</v>
      </c>
      <c r="B4" s="1" t="s">
        <v>18</v>
      </c>
      <c r="C4" s="9">
        <v>1</v>
      </c>
      <c r="D4" s="9">
        <v>6</v>
      </c>
      <c r="E4" s="1">
        <v>0</v>
      </c>
      <c r="F4" s="1">
        <v>1</v>
      </c>
      <c r="G4" s="1" t="s">
        <v>448</v>
      </c>
      <c r="I4" s="1">
        <v>13189</v>
      </c>
      <c r="K4" s="1">
        <v>368</v>
      </c>
      <c r="L4" s="1">
        <v>785</v>
      </c>
      <c r="M4" s="1">
        <v>212</v>
      </c>
      <c r="N4">
        <f t="shared" si="0"/>
        <v>725.27173913043475</v>
      </c>
    </row>
    <row r="5" spans="1:24" ht="15.75" customHeight="1">
      <c r="A5" s="1">
        <f t="shared" si="1"/>
        <v>3</v>
      </c>
      <c r="B5" s="1" t="s">
        <v>19</v>
      </c>
      <c r="C5" s="9">
        <v>1</v>
      </c>
      <c r="D5" s="9">
        <v>6</v>
      </c>
      <c r="E5" s="1">
        <v>0</v>
      </c>
      <c r="F5" s="1">
        <v>1</v>
      </c>
      <c r="G5" s="1" t="s">
        <v>448</v>
      </c>
      <c r="I5" s="1">
        <v>11876</v>
      </c>
      <c r="K5" s="1">
        <v>325</v>
      </c>
      <c r="L5" s="1">
        <v>1136</v>
      </c>
      <c r="M5" s="1">
        <v>54</v>
      </c>
      <c r="N5">
        <f t="shared" si="0"/>
        <v>1188.4307692307693</v>
      </c>
    </row>
    <row r="6" spans="1:24" ht="15.75" customHeight="1">
      <c r="A6" s="1">
        <v>4</v>
      </c>
      <c r="B6" s="1" t="s">
        <v>20</v>
      </c>
      <c r="C6" s="9">
        <v>2</v>
      </c>
      <c r="D6" s="9">
        <v>6</v>
      </c>
      <c r="E6" s="1">
        <v>0.02</v>
      </c>
      <c r="F6" s="1">
        <v>1</v>
      </c>
      <c r="G6" s="1" t="s">
        <v>448</v>
      </c>
      <c r="I6" s="1">
        <v>12951</v>
      </c>
      <c r="K6" s="1">
        <v>361</v>
      </c>
      <c r="L6" s="1">
        <v>776</v>
      </c>
      <c r="M6" s="1">
        <v>199</v>
      </c>
      <c r="N6">
        <f t="shared" si="0"/>
        <v>730.8587257617728</v>
      </c>
    </row>
    <row r="7" spans="1:24" ht="15.75" customHeight="1">
      <c r="A7" s="1">
        <f t="shared" ref="A7:A19" si="2">A6+1</f>
        <v>5</v>
      </c>
      <c r="B7" s="1" t="s">
        <v>21</v>
      </c>
      <c r="C7" s="9">
        <v>2</v>
      </c>
      <c r="D7" s="9">
        <v>6</v>
      </c>
      <c r="E7" s="1">
        <v>0.02</v>
      </c>
      <c r="F7" s="1">
        <v>1</v>
      </c>
      <c r="G7" s="1" t="s">
        <v>448</v>
      </c>
      <c r="I7" s="1">
        <v>11810</v>
      </c>
      <c r="J7" s="1">
        <v>29</v>
      </c>
      <c r="K7" s="1">
        <v>458</v>
      </c>
      <c r="L7" s="1">
        <v>933</v>
      </c>
      <c r="M7" s="1">
        <v>126</v>
      </c>
      <c r="N7">
        <f t="shared" si="0"/>
        <v>692.62008733624452</v>
      </c>
      <c r="S7" s="1">
        <v>12031</v>
      </c>
      <c r="T7" s="1"/>
      <c r="U7" s="1">
        <v>343</v>
      </c>
      <c r="V7" s="1">
        <v>890</v>
      </c>
      <c r="W7" s="1">
        <v>123</v>
      </c>
      <c r="X7">
        <f>$Q$2/U7*V7</f>
        <v>882.21574344023327</v>
      </c>
    </row>
    <row r="8" spans="1:24" ht="15.75" customHeight="1">
      <c r="A8" s="1">
        <f t="shared" si="2"/>
        <v>6</v>
      </c>
      <c r="B8" s="1" t="s">
        <v>22</v>
      </c>
      <c r="C8" s="9">
        <v>2</v>
      </c>
      <c r="D8" s="9">
        <v>6</v>
      </c>
      <c r="E8" s="1">
        <v>0.02</v>
      </c>
      <c r="F8" s="1">
        <v>1</v>
      </c>
      <c r="G8" s="1" t="s">
        <v>448</v>
      </c>
      <c r="I8" s="1">
        <v>12712</v>
      </c>
      <c r="K8" s="1">
        <v>344</v>
      </c>
      <c r="L8" s="1">
        <v>808</v>
      </c>
      <c r="M8" s="1">
        <v>165</v>
      </c>
      <c r="N8">
        <f t="shared" si="0"/>
        <v>798.60465116279067</v>
      </c>
    </row>
    <row r="9" spans="1:24" ht="15.75" customHeight="1">
      <c r="A9" s="1">
        <f t="shared" si="2"/>
        <v>7</v>
      </c>
      <c r="B9" s="1" t="s">
        <v>23</v>
      </c>
      <c r="C9" s="9">
        <v>3</v>
      </c>
      <c r="D9" s="9">
        <v>6</v>
      </c>
      <c r="E9" s="1">
        <v>0.1</v>
      </c>
      <c r="F9" s="1">
        <v>1</v>
      </c>
      <c r="G9" s="1" t="s">
        <v>448</v>
      </c>
      <c r="I9" s="1">
        <v>11403</v>
      </c>
      <c r="K9" s="1">
        <v>305</v>
      </c>
      <c r="L9" s="1">
        <v>1187</v>
      </c>
      <c r="M9" s="1">
        <v>28</v>
      </c>
      <c r="N9">
        <f t="shared" si="0"/>
        <v>1323.2131147540983</v>
      </c>
    </row>
    <row r="10" spans="1:24" ht="15.75" customHeight="1">
      <c r="A10" s="1">
        <f t="shared" si="2"/>
        <v>8</v>
      </c>
      <c r="B10" s="1" t="s">
        <v>24</v>
      </c>
      <c r="C10" s="9">
        <v>3</v>
      </c>
      <c r="D10" s="9">
        <v>6</v>
      </c>
      <c r="E10" s="1">
        <v>0.1</v>
      </c>
      <c r="F10" s="1">
        <v>1</v>
      </c>
      <c r="G10" s="1" t="s">
        <v>448</v>
      </c>
      <c r="I10" s="1">
        <v>11227</v>
      </c>
      <c r="K10" s="1">
        <v>338</v>
      </c>
      <c r="L10" s="1">
        <v>1200</v>
      </c>
      <c r="M10" s="1">
        <v>38</v>
      </c>
      <c r="N10">
        <f t="shared" si="0"/>
        <v>1207.1005917159764</v>
      </c>
    </row>
    <row r="11" spans="1:24" ht="15.75" customHeight="1">
      <c r="A11" s="1">
        <f t="shared" si="2"/>
        <v>9</v>
      </c>
      <c r="B11" s="1" t="s">
        <v>25</v>
      </c>
      <c r="C11" s="9">
        <v>3</v>
      </c>
      <c r="D11" s="9">
        <v>6</v>
      </c>
      <c r="E11" s="1">
        <v>0.1</v>
      </c>
      <c r="F11" s="1">
        <v>1</v>
      </c>
      <c r="G11" s="1" t="s">
        <v>448</v>
      </c>
      <c r="I11" s="1">
        <v>11155</v>
      </c>
      <c r="K11" s="1">
        <v>307</v>
      </c>
      <c r="L11" s="1">
        <v>1196</v>
      </c>
      <c r="M11" s="1">
        <v>41</v>
      </c>
      <c r="N11">
        <f t="shared" si="0"/>
        <v>1324.5602605863194</v>
      </c>
    </row>
    <row r="12" spans="1:24" ht="15.75" customHeight="1">
      <c r="A12" s="1">
        <f t="shared" si="2"/>
        <v>10</v>
      </c>
      <c r="B12" s="1" t="s">
        <v>26</v>
      </c>
      <c r="C12" s="9">
        <v>4</v>
      </c>
      <c r="D12" s="9">
        <v>6</v>
      </c>
      <c r="E12" s="1">
        <v>0.4</v>
      </c>
      <c r="F12" s="1">
        <v>1</v>
      </c>
      <c r="G12" s="1" t="s">
        <v>448</v>
      </c>
      <c r="I12" s="1">
        <v>11170</v>
      </c>
      <c r="K12" s="1">
        <v>302</v>
      </c>
      <c r="L12" s="1">
        <v>1225</v>
      </c>
      <c r="M12" s="1">
        <v>19</v>
      </c>
      <c r="N12">
        <f t="shared" si="0"/>
        <v>1379.1390728476822</v>
      </c>
    </row>
    <row r="13" spans="1:24" ht="15.75" customHeight="1">
      <c r="A13" s="1">
        <f t="shared" si="2"/>
        <v>11</v>
      </c>
      <c r="B13" s="1" t="s">
        <v>27</v>
      </c>
      <c r="C13" s="9">
        <v>4</v>
      </c>
      <c r="D13" s="9">
        <v>6</v>
      </c>
      <c r="E13" s="1">
        <v>0.4</v>
      </c>
      <c r="F13" s="1">
        <v>1</v>
      </c>
      <c r="G13" s="1" t="s">
        <v>448</v>
      </c>
      <c r="I13" s="1">
        <v>10991</v>
      </c>
      <c r="K13" s="1">
        <v>295</v>
      </c>
      <c r="L13" s="1">
        <v>1193</v>
      </c>
      <c r="M13" s="1">
        <v>16</v>
      </c>
      <c r="N13">
        <f t="shared" si="0"/>
        <v>1374.9830508474577</v>
      </c>
    </row>
    <row r="14" spans="1:24" ht="15.75" customHeight="1">
      <c r="A14" s="1">
        <f t="shared" si="2"/>
        <v>12</v>
      </c>
      <c r="B14" s="1" t="s">
        <v>28</v>
      </c>
      <c r="C14" s="9">
        <v>4</v>
      </c>
      <c r="D14" s="9">
        <v>6</v>
      </c>
      <c r="E14" s="1">
        <v>0.4</v>
      </c>
      <c r="F14" s="1">
        <v>1</v>
      </c>
      <c r="G14" s="1" t="s">
        <v>448</v>
      </c>
      <c r="I14" s="1">
        <v>11029</v>
      </c>
      <c r="K14" s="1">
        <v>306</v>
      </c>
      <c r="L14" s="1">
        <v>1221</v>
      </c>
      <c r="M14" s="1">
        <v>16</v>
      </c>
      <c r="N14">
        <f t="shared" si="0"/>
        <v>1356.6666666666667</v>
      </c>
    </row>
    <row r="15" spans="1:24" ht="15.75" customHeight="1">
      <c r="A15" s="1">
        <f t="shared" si="2"/>
        <v>13</v>
      </c>
      <c r="B15" s="1" t="s">
        <v>29</v>
      </c>
      <c r="C15" s="9">
        <v>5</v>
      </c>
      <c r="D15" s="9">
        <v>3</v>
      </c>
      <c r="E15" s="1">
        <v>0</v>
      </c>
      <c r="F15" s="1">
        <v>2</v>
      </c>
      <c r="G15" s="1" t="s">
        <v>448</v>
      </c>
      <c r="I15" s="1">
        <v>11625</v>
      </c>
      <c r="K15" s="1">
        <v>307</v>
      </c>
      <c r="L15" s="1">
        <v>1088</v>
      </c>
      <c r="M15" s="1">
        <v>60</v>
      </c>
      <c r="N15">
        <f t="shared" si="0"/>
        <v>1204.9511400651465</v>
      </c>
    </row>
    <row r="16" spans="1:24" ht="15.75" customHeight="1">
      <c r="A16" s="1">
        <f t="shared" si="2"/>
        <v>14</v>
      </c>
      <c r="B16" s="1" t="s">
        <v>30</v>
      </c>
      <c r="C16" s="9">
        <v>5</v>
      </c>
      <c r="D16" s="9">
        <v>3</v>
      </c>
      <c r="E16" s="1">
        <v>0</v>
      </c>
      <c r="F16" s="1">
        <v>2</v>
      </c>
      <c r="G16" s="1" t="s">
        <v>448</v>
      </c>
      <c r="I16" s="1">
        <v>12127</v>
      </c>
      <c r="K16" s="1">
        <v>329</v>
      </c>
      <c r="L16" s="1">
        <v>897</v>
      </c>
      <c r="M16" s="1">
        <v>144</v>
      </c>
      <c r="N16">
        <f t="shared" si="0"/>
        <v>926.99088145896656</v>
      </c>
    </row>
    <row r="17" spans="1:14" ht="15.75" customHeight="1">
      <c r="A17" s="1">
        <f t="shared" si="2"/>
        <v>15</v>
      </c>
      <c r="B17" s="1" t="s">
        <v>31</v>
      </c>
      <c r="C17" s="9">
        <v>5</v>
      </c>
      <c r="D17" s="9">
        <v>3</v>
      </c>
      <c r="E17" s="1">
        <v>0</v>
      </c>
      <c r="F17" s="1">
        <v>2</v>
      </c>
      <c r="G17" s="1" t="s">
        <v>448</v>
      </c>
      <c r="I17" s="1">
        <v>11694</v>
      </c>
      <c r="K17" s="1">
        <v>317</v>
      </c>
      <c r="L17" s="1">
        <v>944</v>
      </c>
      <c r="M17" s="1">
        <v>111</v>
      </c>
      <c r="N17">
        <f t="shared" si="0"/>
        <v>1012.4921135646688</v>
      </c>
    </row>
    <row r="18" spans="1:14" ht="15.75" customHeight="1">
      <c r="A18" s="1">
        <f t="shared" si="2"/>
        <v>16</v>
      </c>
      <c r="B18" s="1" t="s">
        <v>32</v>
      </c>
      <c r="C18" s="9">
        <v>6</v>
      </c>
      <c r="D18" s="9">
        <v>1</v>
      </c>
      <c r="E18" s="1">
        <v>0</v>
      </c>
      <c r="F18" s="1">
        <v>2</v>
      </c>
      <c r="G18" s="1" t="s">
        <v>448</v>
      </c>
      <c r="I18" s="1">
        <v>11495</v>
      </c>
      <c r="K18" s="1">
        <v>308</v>
      </c>
      <c r="L18" s="1">
        <v>1127</v>
      </c>
      <c r="M18" s="1">
        <v>45</v>
      </c>
      <c r="N18">
        <f t="shared" si="0"/>
        <v>1244.0909090909092</v>
      </c>
    </row>
    <row r="19" spans="1:14" ht="15.75" customHeight="1">
      <c r="A19" s="1">
        <f t="shared" si="2"/>
        <v>17</v>
      </c>
      <c r="B19" s="1" t="s">
        <v>34</v>
      </c>
      <c r="C19" s="9">
        <v>6</v>
      </c>
      <c r="D19" s="9">
        <v>1</v>
      </c>
      <c r="E19" s="1">
        <v>0</v>
      </c>
      <c r="F19" s="1">
        <v>2</v>
      </c>
      <c r="G19" s="1" t="s">
        <v>448</v>
      </c>
      <c r="I19" s="1">
        <v>11765</v>
      </c>
      <c r="K19" s="1">
        <v>312</v>
      </c>
      <c r="L19" s="1">
        <v>1059</v>
      </c>
      <c r="M19" s="1">
        <v>69</v>
      </c>
      <c r="N19">
        <f t="shared" si="0"/>
        <v>1154.0384615384614</v>
      </c>
    </row>
    <row r="20" spans="1:14" ht="15.75" customHeight="1">
      <c r="A20" s="1">
        <v>18</v>
      </c>
      <c r="B20" s="1" t="s">
        <v>36</v>
      </c>
      <c r="C20" s="9">
        <v>6</v>
      </c>
      <c r="D20" s="9">
        <v>1</v>
      </c>
      <c r="E20" s="1">
        <v>0</v>
      </c>
      <c r="F20" s="1">
        <v>2</v>
      </c>
      <c r="G20" s="1" t="s">
        <v>448</v>
      </c>
      <c r="I20" s="1">
        <v>11399</v>
      </c>
      <c r="K20" s="1">
        <v>303</v>
      </c>
      <c r="L20" s="1">
        <v>1173</v>
      </c>
      <c r="M20" s="1">
        <v>29</v>
      </c>
      <c r="N20">
        <f t="shared" si="0"/>
        <v>1316.2376237623762</v>
      </c>
    </row>
    <row r="21" spans="1:14" ht="15.75" customHeight="1">
      <c r="A21" s="14">
        <f t="shared" ref="A21:A23" si="3">A20+1</f>
        <v>19</v>
      </c>
      <c r="B21" s="14" t="s">
        <v>38</v>
      </c>
      <c r="C21" s="107">
        <v>7</v>
      </c>
      <c r="D21" s="107" t="s">
        <v>449</v>
      </c>
      <c r="E21" s="14"/>
      <c r="F21" s="1">
        <v>1</v>
      </c>
      <c r="G21" s="1" t="s">
        <v>450</v>
      </c>
      <c r="H21" s="1" t="s">
        <v>451</v>
      </c>
      <c r="I21" s="1">
        <v>11489</v>
      </c>
      <c r="K21" s="1">
        <v>323</v>
      </c>
      <c r="L21" s="1">
        <v>1074</v>
      </c>
      <c r="M21" s="1">
        <v>55</v>
      </c>
      <c r="N21">
        <f t="shared" si="0"/>
        <v>1130.5263157894735</v>
      </c>
    </row>
    <row r="22" spans="1:14" ht="15.75" customHeight="1">
      <c r="A22" s="1">
        <f t="shared" si="3"/>
        <v>20</v>
      </c>
      <c r="B22" s="1" t="s">
        <v>40</v>
      </c>
      <c r="C22" s="9">
        <v>7</v>
      </c>
      <c r="D22" s="9" t="s">
        <v>449</v>
      </c>
      <c r="E22" s="1"/>
      <c r="F22" s="1">
        <v>1</v>
      </c>
      <c r="G22" s="1" t="s">
        <v>450</v>
      </c>
      <c r="H22" s="1" t="s">
        <v>451</v>
      </c>
      <c r="I22" s="1">
        <v>11517</v>
      </c>
      <c r="K22" s="1">
        <v>312</v>
      </c>
      <c r="L22" s="1">
        <v>1094</v>
      </c>
      <c r="M22" s="1">
        <v>62</v>
      </c>
      <c r="N22">
        <f t="shared" si="0"/>
        <v>1192.1794871794871</v>
      </c>
    </row>
    <row r="23" spans="1:14" ht="15.75" customHeight="1">
      <c r="A23" s="1">
        <f t="shared" si="3"/>
        <v>21</v>
      </c>
      <c r="B23" s="1" t="s">
        <v>42</v>
      </c>
      <c r="C23" s="9">
        <v>7</v>
      </c>
      <c r="D23" s="9" t="s">
        <v>452</v>
      </c>
      <c r="E23" s="1"/>
      <c r="F23" s="1">
        <v>1</v>
      </c>
      <c r="G23" s="1" t="s">
        <v>450</v>
      </c>
      <c r="H23" s="1" t="s">
        <v>453</v>
      </c>
      <c r="I23" s="1">
        <v>11510</v>
      </c>
      <c r="K23" s="1">
        <v>307</v>
      </c>
      <c r="L23" s="1">
        <v>1118</v>
      </c>
      <c r="M23" s="1">
        <v>45</v>
      </c>
      <c r="N23">
        <f t="shared" si="0"/>
        <v>1238.1758957654724</v>
      </c>
    </row>
    <row r="24" spans="1:14" ht="15.75" customHeight="1">
      <c r="A24" s="1">
        <v>22</v>
      </c>
      <c r="B24" s="1" t="s">
        <v>400</v>
      </c>
      <c r="C24" s="1">
        <v>7</v>
      </c>
      <c r="D24" s="9" t="s">
        <v>452</v>
      </c>
      <c r="F24" s="1">
        <v>1</v>
      </c>
      <c r="G24" s="1" t="s">
        <v>450</v>
      </c>
      <c r="H24" s="1" t="s">
        <v>453</v>
      </c>
      <c r="I24" s="1">
        <v>11251</v>
      </c>
      <c r="K24" s="1">
        <v>301</v>
      </c>
      <c r="L24" s="1">
        <v>1215</v>
      </c>
      <c r="M24" s="1">
        <v>17</v>
      </c>
      <c r="N24">
        <f t="shared" si="0"/>
        <v>1372.4252491694353</v>
      </c>
    </row>
    <row r="26" spans="1:14" ht="15.75" customHeight="1">
      <c r="C26" s="1" t="s">
        <v>44</v>
      </c>
      <c r="D26" s="1">
        <v>0.3</v>
      </c>
      <c r="G26" s="1" t="s">
        <v>48</v>
      </c>
    </row>
    <row r="27" spans="1:14" ht="15.75" customHeight="1">
      <c r="C27" s="1" t="s">
        <v>45</v>
      </c>
      <c r="D27" s="1" t="s">
        <v>46</v>
      </c>
      <c r="E27" s="1" t="s">
        <v>47</v>
      </c>
      <c r="F27" s="1" t="s">
        <v>300</v>
      </c>
      <c r="G27">
        <f>A20*200</f>
        <v>3600</v>
      </c>
    </row>
    <row r="28" spans="1:14" ht="15.75" customHeight="1">
      <c r="A28" s="1"/>
      <c r="B28" s="100"/>
      <c r="C28" s="1" t="s">
        <v>301</v>
      </c>
      <c r="D28" s="1" t="s">
        <v>50</v>
      </c>
      <c r="E28" s="1" t="s">
        <v>454</v>
      </c>
    </row>
    <row r="29" spans="1:14" ht="15.75" customHeight="1">
      <c r="C29" s="1" t="s">
        <v>52</v>
      </c>
      <c r="D29" s="1">
        <v>200</v>
      </c>
      <c r="E29">
        <f>D29/$D$26-D29</f>
        <v>466.66666666666674</v>
      </c>
      <c r="F29">
        <f>E29+D29</f>
        <v>666.66666666666674</v>
      </c>
      <c r="H29" s="1"/>
      <c r="I29" s="1"/>
    </row>
    <row r="30" spans="1:14" ht="15.75" customHeight="1">
      <c r="A30" s="1"/>
      <c r="B30" s="1"/>
      <c r="C30" s="1" t="s">
        <v>99</v>
      </c>
      <c r="D30" s="1" t="s">
        <v>50</v>
      </c>
      <c r="E30" s="1" t="s">
        <v>455</v>
      </c>
    </row>
    <row r="31" spans="1:14" ht="15.75" customHeight="1">
      <c r="C31" s="1" t="s">
        <v>52</v>
      </c>
      <c r="D31" s="1">
        <v>200</v>
      </c>
      <c r="E31">
        <f>D31/$D$26-D31</f>
        <v>466.66666666666674</v>
      </c>
      <c r="F31">
        <f>E31+D31</f>
        <v>666.66666666666674</v>
      </c>
    </row>
    <row r="32" spans="1:14" ht="15.75" customHeight="1">
      <c r="B32" s="1"/>
      <c r="C32" s="1" t="s">
        <v>101</v>
      </c>
      <c r="D32" s="1" t="s">
        <v>50</v>
      </c>
      <c r="E32" s="1" t="s">
        <v>456</v>
      </c>
    </row>
    <row r="33" spans="1:9" ht="15.75" customHeight="1">
      <c r="C33" s="1" t="s">
        <v>52</v>
      </c>
      <c r="D33" s="1">
        <v>200</v>
      </c>
      <c r="E33">
        <f>D33/$D$26-D33</f>
        <v>466.66666666666674</v>
      </c>
      <c r="F33">
        <f>E33+D33</f>
        <v>666.66666666666674</v>
      </c>
    </row>
    <row r="34" spans="1:9" ht="15.75" customHeight="1">
      <c r="B34" s="1"/>
      <c r="C34" s="1" t="s">
        <v>103</v>
      </c>
      <c r="D34" s="1" t="s">
        <v>50</v>
      </c>
      <c r="E34" s="1" t="s">
        <v>457</v>
      </c>
    </row>
    <row r="35" spans="1:9" ht="15.75" customHeight="1">
      <c r="A35" s="1"/>
      <c r="C35" s="1" t="s">
        <v>52</v>
      </c>
      <c r="D35" s="1">
        <v>200</v>
      </c>
      <c r="E35">
        <f>D35/$D$26-D35</f>
        <v>466.66666666666674</v>
      </c>
      <c r="F35">
        <f>E35+D35</f>
        <v>666.66666666666674</v>
      </c>
    </row>
    <row r="36" spans="1:9" ht="15.75" customHeight="1">
      <c r="A36" s="1"/>
      <c r="B36" s="1"/>
      <c r="C36" s="1" t="s">
        <v>105</v>
      </c>
      <c r="D36" s="1" t="s">
        <v>50</v>
      </c>
      <c r="E36" s="1" t="s">
        <v>458</v>
      </c>
    </row>
    <row r="37" spans="1:9" ht="15.75" customHeight="1">
      <c r="A37" s="1"/>
      <c r="C37" s="1" t="s">
        <v>52</v>
      </c>
      <c r="D37" s="1">
        <v>200</v>
      </c>
      <c r="E37">
        <f>D37/$D$26-D37</f>
        <v>466.66666666666674</v>
      </c>
      <c r="F37">
        <f>E37+D37</f>
        <v>666.66666666666674</v>
      </c>
    </row>
    <row r="38" spans="1:9" ht="15.75" customHeight="1">
      <c r="A38" s="1"/>
      <c r="C38" s="1" t="s">
        <v>274</v>
      </c>
      <c r="D38" s="1" t="s">
        <v>50</v>
      </c>
      <c r="E38" s="1" t="s">
        <v>459</v>
      </c>
    </row>
    <row r="39" spans="1:9" ht="12.75">
      <c r="A39" s="1"/>
      <c r="C39" s="1" t="s">
        <v>52</v>
      </c>
      <c r="D39" s="1">
        <v>200</v>
      </c>
      <c r="E39">
        <f>D39/$D$26-D39</f>
        <v>466.66666666666674</v>
      </c>
      <c r="F39">
        <f>E39+D39</f>
        <v>666.66666666666674</v>
      </c>
    </row>
    <row r="40" spans="1:9" ht="12.75">
      <c r="A40" s="1"/>
      <c r="C40" s="1" t="s">
        <v>276</v>
      </c>
      <c r="D40" s="1" t="s">
        <v>50</v>
      </c>
      <c r="E40" s="1" t="s">
        <v>460</v>
      </c>
      <c r="F40" s="1"/>
    </row>
    <row r="41" spans="1:9" ht="12.75">
      <c r="A41" s="1"/>
      <c r="C41" s="1" t="s">
        <v>52</v>
      </c>
      <c r="D41" s="1">
        <v>200</v>
      </c>
      <c r="E41">
        <f>D41/$D$26-D41</f>
        <v>466.66666666666674</v>
      </c>
      <c r="F41">
        <f>E41+D41</f>
        <v>666.66666666666674</v>
      </c>
    </row>
    <row r="42" spans="1:9" ht="12.75">
      <c r="A42" s="1"/>
      <c r="E42" s="1" t="s">
        <v>53</v>
      </c>
      <c r="F42" s="1">
        <f>SUM(F29:F39)</f>
        <v>4000.0000000000009</v>
      </c>
    </row>
    <row r="43" spans="1:9" ht="12.75">
      <c r="A43" s="1"/>
    </row>
    <row r="44" spans="1:9" ht="12.75">
      <c r="A44" s="1"/>
    </row>
    <row r="45" spans="1:9" ht="12.75">
      <c r="A45" s="1" t="s">
        <v>421</v>
      </c>
    </row>
    <row r="46" spans="1:9" ht="12.75">
      <c r="A46" s="1" t="s">
        <v>461</v>
      </c>
    </row>
    <row r="47" spans="1:9" ht="12.75">
      <c r="A47" s="1" t="s">
        <v>423</v>
      </c>
    </row>
    <row r="48" spans="1:9" ht="12.75">
      <c r="A48" s="1" t="s">
        <v>462</v>
      </c>
      <c r="I48" s="1" t="s">
        <v>463</v>
      </c>
    </row>
    <row r="49" spans="1:17" ht="12.75">
      <c r="A49" s="1" t="s">
        <v>464</v>
      </c>
      <c r="I49" s="1" t="s">
        <v>465</v>
      </c>
    </row>
    <row r="50" spans="1:17" ht="12.75">
      <c r="A50" s="1" t="s">
        <v>466</v>
      </c>
      <c r="I50" s="1" t="s">
        <v>467</v>
      </c>
    </row>
    <row r="51" spans="1:17" ht="12.75">
      <c r="A51" s="1" t="s">
        <v>468</v>
      </c>
      <c r="I51" s="1" t="s">
        <v>469</v>
      </c>
    </row>
    <row r="52" spans="1:17" ht="12.75">
      <c r="A52" s="1" t="s">
        <v>470</v>
      </c>
      <c r="I52" s="1" t="s">
        <v>471</v>
      </c>
    </row>
    <row r="53" spans="1:17" ht="12.75">
      <c r="A53" s="1" t="s">
        <v>472</v>
      </c>
      <c r="I53" s="1" t="s">
        <v>473</v>
      </c>
    </row>
    <row r="54" spans="1:17" ht="12.75">
      <c r="A54" s="1" t="s">
        <v>474</v>
      </c>
      <c r="I54" s="1" t="s">
        <v>475</v>
      </c>
      <c r="N54" s="1" t="s">
        <v>476</v>
      </c>
      <c r="Q54" s="1" t="s">
        <v>477</v>
      </c>
    </row>
    <row r="55" spans="1:17" ht="12.75">
      <c r="A55" s="1" t="s">
        <v>478</v>
      </c>
      <c r="I55" s="1" t="s">
        <v>479</v>
      </c>
      <c r="N55" s="1" t="s">
        <v>38</v>
      </c>
      <c r="Q55" s="1" t="s">
        <v>38</v>
      </c>
    </row>
    <row r="56" spans="1:17" ht="12.75">
      <c r="A56" s="1" t="s">
        <v>480</v>
      </c>
      <c r="I56" s="1" t="s">
        <v>481</v>
      </c>
      <c r="N56" s="1" t="s">
        <v>40</v>
      </c>
      <c r="Q56" s="1" t="s">
        <v>40</v>
      </c>
    </row>
    <row r="57" spans="1:17" ht="12.75">
      <c r="A57" s="1" t="s">
        <v>482</v>
      </c>
      <c r="I57" s="1" t="s">
        <v>483</v>
      </c>
      <c r="N57" s="1" t="s">
        <v>42</v>
      </c>
      <c r="Q57" s="1" t="s">
        <v>42</v>
      </c>
    </row>
    <row r="58" spans="1:17" ht="12.75">
      <c r="A58" s="1" t="s">
        <v>484</v>
      </c>
      <c r="I58" s="1" t="s">
        <v>485</v>
      </c>
      <c r="N58" s="1" t="s">
        <v>400</v>
      </c>
      <c r="Q58" s="1" t="s">
        <v>400</v>
      </c>
    </row>
    <row r="59" spans="1:17" ht="12.75">
      <c r="A59" s="1" t="s">
        <v>486</v>
      </c>
      <c r="I59" s="1" t="s">
        <v>487</v>
      </c>
      <c r="N59" s="1" t="s">
        <v>34</v>
      </c>
      <c r="Q59" s="1" t="s">
        <v>22</v>
      </c>
    </row>
    <row r="60" spans="1:17" ht="12.75">
      <c r="N60" s="1" t="s">
        <v>32</v>
      </c>
      <c r="Q60" s="1" t="s">
        <v>19</v>
      </c>
    </row>
    <row r="61" spans="1:17" ht="12.75">
      <c r="A61" s="1" t="s">
        <v>488</v>
      </c>
      <c r="N61" s="1" t="s">
        <v>36</v>
      </c>
      <c r="Q61" s="1" t="s">
        <v>21</v>
      </c>
    </row>
    <row r="62" spans="1:17" ht="12.75">
      <c r="A62" s="1" t="s">
        <v>489</v>
      </c>
      <c r="N62" s="1" t="s">
        <v>31</v>
      </c>
      <c r="Q62" s="1" t="s">
        <v>20</v>
      </c>
    </row>
    <row r="63" spans="1:17" ht="12.75">
      <c r="A63" s="1" t="s">
        <v>490</v>
      </c>
      <c r="N63" s="1" t="s">
        <v>30</v>
      </c>
      <c r="Q63" s="1" t="s">
        <v>18</v>
      </c>
    </row>
    <row r="64" spans="1:17" ht="12.75">
      <c r="A64" s="1" t="s">
        <v>491</v>
      </c>
      <c r="N64" s="1" t="s">
        <v>29</v>
      </c>
      <c r="Q64" s="1" t="s">
        <v>24</v>
      </c>
    </row>
    <row r="65" spans="1:17" ht="12.75">
      <c r="A65" s="1" t="s">
        <v>492</v>
      </c>
      <c r="N65" s="1" t="s">
        <v>19</v>
      </c>
      <c r="Q65" s="1" t="s">
        <v>23</v>
      </c>
    </row>
    <row r="66" spans="1:17" ht="12.75">
      <c r="N66" s="1" t="s">
        <v>18</v>
      </c>
      <c r="Q66" s="1" t="s">
        <v>17</v>
      </c>
    </row>
    <row r="67" spans="1:17" ht="12.75">
      <c r="A67" s="1" t="s">
        <v>493</v>
      </c>
      <c r="N67" s="1" t="s">
        <v>22</v>
      </c>
      <c r="Q67" s="1" t="s">
        <v>31</v>
      </c>
    </row>
    <row r="68" spans="1:17" ht="12.75">
      <c r="A68" s="1" t="s">
        <v>494</v>
      </c>
      <c r="N68" s="1" t="s">
        <v>28</v>
      </c>
      <c r="Q68" s="1" t="s">
        <v>32</v>
      </c>
    </row>
    <row r="69" spans="1:17" ht="12.75">
      <c r="A69" s="1" t="s">
        <v>495</v>
      </c>
      <c r="N69" s="1" t="s">
        <v>17</v>
      </c>
      <c r="Q69" s="1" t="s">
        <v>28</v>
      </c>
    </row>
    <row r="70" spans="1:17" ht="12.75">
      <c r="A70" s="1" t="s">
        <v>496</v>
      </c>
      <c r="N70" s="1" t="s">
        <v>21</v>
      </c>
      <c r="Q70" s="1" t="s">
        <v>25</v>
      </c>
    </row>
    <row r="71" spans="1:17" ht="12.75">
      <c r="A71" s="1" t="s">
        <v>497</v>
      </c>
      <c r="N71" s="1" t="s">
        <v>20</v>
      </c>
      <c r="Q71" s="1" t="s">
        <v>26</v>
      </c>
    </row>
    <row r="72" spans="1:17" ht="12.75">
      <c r="A72" s="1" t="s">
        <v>498</v>
      </c>
      <c r="N72" s="1" t="s">
        <v>23</v>
      </c>
      <c r="Q72" s="1" t="s">
        <v>27</v>
      </c>
    </row>
    <row r="73" spans="1:17" ht="12.75">
      <c r="A73" s="1" t="s">
        <v>499</v>
      </c>
      <c r="N73" s="1" t="s">
        <v>24</v>
      </c>
      <c r="Q73" s="1" t="s">
        <v>34</v>
      </c>
    </row>
    <row r="74" spans="1:17" ht="12.75">
      <c r="A74" s="1" t="s">
        <v>500</v>
      </c>
      <c r="N74" s="1" t="s">
        <v>25</v>
      </c>
      <c r="Q74" s="1" t="s">
        <v>29</v>
      </c>
    </row>
    <row r="75" spans="1:17" ht="12.75">
      <c r="A75" s="1" t="s">
        <v>501</v>
      </c>
      <c r="K75" s="1" t="s">
        <v>26</v>
      </c>
      <c r="N75" s="1" t="s">
        <v>30</v>
      </c>
    </row>
    <row r="76" spans="1:17" ht="12.75">
      <c r="A76" s="1" t="s">
        <v>502</v>
      </c>
      <c r="K76" s="1" t="s">
        <v>27</v>
      </c>
      <c r="N76" s="1" t="s">
        <v>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4"/>
  <sheetViews>
    <sheetView workbookViewId="0"/>
  </sheetViews>
  <sheetFormatPr defaultColWidth="14.42578125" defaultRowHeight="15.75" customHeight="1"/>
  <cols>
    <col min="1" max="1" width="10.85546875" customWidth="1"/>
    <col min="2" max="3" width="11.42578125" customWidth="1"/>
    <col min="4" max="4" width="13.28515625" customWidth="1"/>
    <col min="6" max="6" width="26.28515625" customWidth="1"/>
    <col min="7" max="7" width="28.5703125" customWidth="1"/>
    <col min="8" max="8" width="16.7109375" customWidth="1"/>
    <col min="10" max="10" width="14.42578125" customWidth="1"/>
    <col min="11" max="11" width="13.140625" customWidth="1"/>
    <col min="12" max="12" width="12.7109375" customWidth="1"/>
    <col min="13" max="13" width="9.7109375" customWidth="1"/>
  </cols>
  <sheetData>
    <row r="1" spans="1:23" ht="15.75" customHeight="1">
      <c r="A1" s="1" t="s">
        <v>322</v>
      </c>
      <c r="B1" s="1" t="s">
        <v>1</v>
      </c>
      <c r="C1" s="1" t="s">
        <v>503</v>
      </c>
      <c r="D1" s="1" t="s">
        <v>504</v>
      </c>
      <c r="E1" s="1" t="s">
        <v>395</v>
      </c>
      <c r="F1" s="1" t="s">
        <v>505</v>
      </c>
      <c r="G1" s="1"/>
      <c r="H1" s="1" t="s">
        <v>6</v>
      </c>
      <c r="I1" s="1" t="s">
        <v>7</v>
      </c>
      <c r="J1" s="1" t="s">
        <v>8</v>
      </c>
      <c r="K1" s="1" t="s">
        <v>9</v>
      </c>
      <c r="L1" s="1" t="s">
        <v>10</v>
      </c>
      <c r="M1" s="2" t="s">
        <v>11</v>
      </c>
      <c r="O1" s="1" t="s">
        <v>13</v>
      </c>
      <c r="P1" s="103" t="s">
        <v>397</v>
      </c>
      <c r="R1" s="1" t="s">
        <v>6</v>
      </c>
      <c r="S1" s="1" t="s">
        <v>7</v>
      </c>
      <c r="T1" s="1" t="s">
        <v>8</v>
      </c>
      <c r="U1" s="1" t="s">
        <v>9</v>
      </c>
      <c r="V1" s="1" t="s">
        <v>10</v>
      </c>
      <c r="W1" s="1" t="s">
        <v>11</v>
      </c>
    </row>
    <row r="2" spans="1:23" ht="15.75" customHeight="1">
      <c r="M2" s="99"/>
      <c r="P2" s="1">
        <v>340</v>
      </c>
    </row>
    <row r="3" spans="1:23" ht="15.75" customHeight="1">
      <c r="A3" s="1">
        <v>1</v>
      </c>
      <c r="B3" s="1" t="s">
        <v>17</v>
      </c>
      <c r="C3" s="9" t="s">
        <v>506</v>
      </c>
      <c r="D3" s="9">
        <v>5</v>
      </c>
      <c r="E3" s="1">
        <v>1</v>
      </c>
      <c r="F3" s="1" t="s">
        <v>507</v>
      </c>
      <c r="G3" s="1"/>
      <c r="H3" s="1">
        <v>12040</v>
      </c>
      <c r="I3" s="1"/>
      <c r="J3" s="1">
        <v>318</v>
      </c>
      <c r="K3" s="1">
        <v>1301</v>
      </c>
      <c r="L3" s="1">
        <v>12</v>
      </c>
      <c r="M3" s="108">
        <f t="shared" ref="M3:M23" si="0">$P$2/J3*K3</f>
        <v>1391.0062893081761</v>
      </c>
    </row>
    <row r="4" spans="1:23" ht="15.75" customHeight="1">
      <c r="A4" s="1">
        <f t="shared" ref="A4:A5" si="1">A3+1</f>
        <v>2</v>
      </c>
      <c r="B4" s="1" t="s">
        <v>18</v>
      </c>
      <c r="C4" s="9" t="s">
        <v>506</v>
      </c>
      <c r="D4" s="9">
        <v>5</v>
      </c>
      <c r="E4" s="1">
        <v>1</v>
      </c>
      <c r="F4" s="1" t="s">
        <v>507</v>
      </c>
      <c r="G4" s="1"/>
      <c r="H4" s="1">
        <v>11920</v>
      </c>
      <c r="J4" s="1">
        <v>318</v>
      </c>
      <c r="K4" s="1">
        <v>1288</v>
      </c>
      <c r="L4" s="1">
        <v>20</v>
      </c>
      <c r="M4" s="108">
        <f t="shared" si="0"/>
        <v>1377.1069182389938</v>
      </c>
    </row>
    <row r="5" spans="1:23" ht="15.75" customHeight="1">
      <c r="A5" s="1">
        <f t="shared" si="1"/>
        <v>3</v>
      </c>
      <c r="B5" s="1" t="s">
        <v>19</v>
      </c>
      <c r="C5" s="9" t="s">
        <v>506</v>
      </c>
      <c r="D5" s="9">
        <v>5</v>
      </c>
      <c r="E5" s="1">
        <v>1</v>
      </c>
      <c r="F5" s="1" t="s">
        <v>507</v>
      </c>
      <c r="G5" s="1"/>
      <c r="H5" s="1">
        <v>11621</v>
      </c>
      <c r="J5" s="1">
        <v>319</v>
      </c>
      <c r="K5" s="1">
        <v>1285</v>
      </c>
      <c r="L5" s="1">
        <v>15</v>
      </c>
      <c r="M5" s="108">
        <f t="shared" si="0"/>
        <v>1369.5924764890283</v>
      </c>
    </row>
    <row r="6" spans="1:23" ht="15.75" customHeight="1">
      <c r="A6" s="1">
        <v>4</v>
      </c>
      <c r="B6" s="1" t="s">
        <v>20</v>
      </c>
      <c r="C6" s="9" t="s">
        <v>506</v>
      </c>
      <c r="D6" s="9">
        <v>15</v>
      </c>
      <c r="E6" s="1">
        <v>2</v>
      </c>
      <c r="F6" s="1" t="s">
        <v>507</v>
      </c>
      <c r="G6" s="1"/>
      <c r="H6" s="1">
        <v>11807</v>
      </c>
      <c r="J6" s="1">
        <v>316</v>
      </c>
      <c r="K6" s="1">
        <v>1236</v>
      </c>
      <c r="L6" s="1">
        <v>21</v>
      </c>
      <c r="M6" s="108">
        <f t="shared" si="0"/>
        <v>1329.873417721519</v>
      </c>
    </row>
    <row r="7" spans="1:23" ht="15.75" customHeight="1">
      <c r="A7" s="1">
        <f t="shared" ref="A7:A19" si="2">A6+1</f>
        <v>5</v>
      </c>
      <c r="B7" s="1" t="s">
        <v>21</v>
      </c>
      <c r="C7" s="9" t="s">
        <v>506</v>
      </c>
      <c r="D7" s="9">
        <v>15</v>
      </c>
      <c r="E7" s="1">
        <v>2</v>
      </c>
      <c r="F7" s="1" t="s">
        <v>507</v>
      </c>
      <c r="G7" s="1"/>
      <c r="H7" s="1">
        <v>11352</v>
      </c>
      <c r="I7" s="1">
        <v>18</v>
      </c>
      <c r="J7" s="1">
        <v>415</v>
      </c>
      <c r="K7" s="1">
        <v>1122</v>
      </c>
      <c r="L7" s="1">
        <v>57</v>
      </c>
      <c r="M7" s="108">
        <f t="shared" si="0"/>
        <v>919.22891566265059</v>
      </c>
      <c r="R7" s="1">
        <v>12040</v>
      </c>
      <c r="S7" s="1"/>
      <c r="T7" s="1">
        <v>318</v>
      </c>
      <c r="U7" s="1">
        <v>1302</v>
      </c>
      <c r="V7" s="1">
        <v>12</v>
      </c>
      <c r="W7">
        <f>P2/T7*U7</f>
        <v>1392.0754716981132</v>
      </c>
    </row>
    <row r="8" spans="1:23" ht="15.75" customHeight="1">
      <c r="A8" s="1">
        <f t="shared" si="2"/>
        <v>6</v>
      </c>
      <c r="B8" s="1" t="s">
        <v>22</v>
      </c>
      <c r="C8" s="9" t="s">
        <v>506</v>
      </c>
      <c r="D8" s="9">
        <v>15</v>
      </c>
      <c r="E8" s="1">
        <v>2</v>
      </c>
      <c r="F8" s="1" t="s">
        <v>507</v>
      </c>
      <c r="G8" s="1"/>
      <c r="H8" s="1">
        <v>11732</v>
      </c>
      <c r="J8" s="1">
        <v>312</v>
      </c>
      <c r="K8" s="1">
        <v>1214</v>
      </c>
      <c r="L8" s="1">
        <v>30</v>
      </c>
      <c r="M8" s="108">
        <f t="shared" si="0"/>
        <v>1322.9487179487178</v>
      </c>
    </row>
    <row r="9" spans="1:23" ht="15.75" customHeight="1">
      <c r="A9" s="1">
        <f t="shared" si="2"/>
        <v>7</v>
      </c>
      <c r="B9" s="1" t="s">
        <v>23</v>
      </c>
      <c r="C9" s="9" t="s">
        <v>506</v>
      </c>
      <c r="D9" s="9">
        <v>25</v>
      </c>
      <c r="E9" s="1">
        <v>1</v>
      </c>
      <c r="F9" s="1" t="s">
        <v>508</v>
      </c>
      <c r="G9" s="1"/>
      <c r="H9" s="1">
        <v>12101</v>
      </c>
      <c r="J9" s="1">
        <v>325</v>
      </c>
      <c r="K9" s="1">
        <v>1015</v>
      </c>
      <c r="L9" s="1">
        <v>89</v>
      </c>
      <c r="M9" s="108">
        <f t="shared" si="0"/>
        <v>1061.8461538461538</v>
      </c>
    </row>
    <row r="10" spans="1:23" ht="15.75" customHeight="1">
      <c r="A10" s="1">
        <f t="shared" si="2"/>
        <v>8</v>
      </c>
      <c r="B10" s="1" t="s">
        <v>24</v>
      </c>
      <c r="C10" s="9" t="s">
        <v>506</v>
      </c>
      <c r="D10" s="9">
        <v>25</v>
      </c>
      <c r="E10" s="1">
        <v>1</v>
      </c>
      <c r="F10" s="1" t="s">
        <v>508</v>
      </c>
      <c r="G10" s="1"/>
      <c r="H10" s="1">
        <v>11961</v>
      </c>
      <c r="J10" s="1">
        <v>412</v>
      </c>
      <c r="K10" s="1">
        <v>885</v>
      </c>
      <c r="L10" s="1">
        <v>128</v>
      </c>
      <c r="M10" s="108">
        <f t="shared" si="0"/>
        <v>730.33980582524271</v>
      </c>
    </row>
    <row r="11" spans="1:23" ht="15.75" customHeight="1">
      <c r="A11" s="1">
        <f t="shared" si="2"/>
        <v>9</v>
      </c>
      <c r="B11" s="1" t="s">
        <v>25</v>
      </c>
      <c r="C11" s="9" t="s">
        <v>506</v>
      </c>
      <c r="D11" s="9">
        <v>25</v>
      </c>
      <c r="E11" s="1">
        <v>1</v>
      </c>
      <c r="F11" s="1" t="s">
        <v>508</v>
      </c>
      <c r="G11" s="1"/>
      <c r="H11" s="1">
        <v>12310</v>
      </c>
      <c r="J11" s="1">
        <v>339</v>
      </c>
      <c r="K11" s="1">
        <v>836</v>
      </c>
      <c r="L11" s="1">
        <v>139</v>
      </c>
      <c r="M11" s="108">
        <f t="shared" si="0"/>
        <v>838.46607669616515</v>
      </c>
    </row>
    <row r="12" spans="1:23" ht="15.75" customHeight="1">
      <c r="A12" s="1">
        <f t="shared" si="2"/>
        <v>10</v>
      </c>
      <c r="B12" s="1" t="s">
        <v>26</v>
      </c>
      <c r="C12" s="9" t="s">
        <v>509</v>
      </c>
      <c r="D12" s="9">
        <v>25</v>
      </c>
      <c r="E12" s="1">
        <v>1</v>
      </c>
      <c r="F12" s="1" t="s">
        <v>508</v>
      </c>
      <c r="G12" s="1"/>
      <c r="H12" s="1">
        <v>12454</v>
      </c>
      <c r="J12" s="1">
        <v>337</v>
      </c>
      <c r="K12" s="1">
        <v>809</v>
      </c>
      <c r="L12" s="1">
        <v>145</v>
      </c>
      <c r="M12" s="108">
        <f t="shared" si="0"/>
        <v>816.20178041543022</v>
      </c>
    </row>
    <row r="13" spans="1:23" ht="15.75" customHeight="1">
      <c r="A13" s="1">
        <f t="shared" si="2"/>
        <v>11</v>
      </c>
      <c r="B13" s="1" t="s">
        <v>27</v>
      </c>
      <c r="C13" s="9" t="s">
        <v>509</v>
      </c>
      <c r="D13" s="9">
        <v>25</v>
      </c>
      <c r="E13" s="1">
        <v>1</v>
      </c>
      <c r="F13" s="1" t="s">
        <v>508</v>
      </c>
      <c r="G13" s="1"/>
      <c r="H13" s="1">
        <v>13211</v>
      </c>
      <c r="J13" s="1">
        <v>379</v>
      </c>
      <c r="K13" s="1">
        <v>410</v>
      </c>
      <c r="L13" s="1">
        <v>274</v>
      </c>
      <c r="M13" s="108">
        <f t="shared" si="0"/>
        <v>367.81002638522426</v>
      </c>
    </row>
    <row r="14" spans="1:23" ht="15.75" customHeight="1">
      <c r="A14" s="1">
        <f t="shared" si="2"/>
        <v>12</v>
      </c>
      <c r="B14" s="1" t="s">
        <v>28</v>
      </c>
      <c r="C14" s="9" t="s">
        <v>509</v>
      </c>
      <c r="D14" s="9">
        <v>25</v>
      </c>
      <c r="E14" s="1">
        <v>1</v>
      </c>
      <c r="F14" s="1" t="s">
        <v>508</v>
      </c>
      <c r="G14" s="1"/>
      <c r="H14" s="1">
        <v>12367</v>
      </c>
      <c r="J14" s="1">
        <v>354</v>
      </c>
      <c r="K14" s="1">
        <v>702</v>
      </c>
      <c r="L14" s="1">
        <v>197</v>
      </c>
      <c r="M14" s="108">
        <f t="shared" si="0"/>
        <v>674.23728813559319</v>
      </c>
    </row>
    <row r="15" spans="1:23" ht="15.75" customHeight="1">
      <c r="A15" s="1">
        <f t="shared" si="2"/>
        <v>13</v>
      </c>
      <c r="B15" s="1" t="s">
        <v>29</v>
      </c>
      <c r="C15" s="9" t="s">
        <v>510</v>
      </c>
      <c r="D15" s="9">
        <v>25</v>
      </c>
      <c r="E15" s="1">
        <v>1</v>
      </c>
      <c r="F15" s="1" t="s">
        <v>508</v>
      </c>
      <c r="G15" s="1"/>
      <c r="H15" s="1">
        <v>12341</v>
      </c>
      <c r="J15" s="1">
        <v>329</v>
      </c>
      <c r="K15" s="1">
        <v>837</v>
      </c>
      <c r="L15" s="1">
        <v>138</v>
      </c>
      <c r="M15" s="108">
        <f t="shared" si="0"/>
        <v>864.984802431611</v>
      </c>
    </row>
    <row r="16" spans="1:23" ht="15.75" customHeight="1">
      <c r="A16" s="1">
        <f t="shared" si="2"/>
        <v>14</v>
      </c>
      <c r="B16" s="1" t="s">
        <v>30</v>
      </c>
      <c r="C16" s="9" t="s">
        <v>510</v>
      </c>
      <c r="D16" s="9">
        <v>25</v>
      </c>
      <c r="E16" s="1">
        <v>1</v>
      </c>
      <c r="F16" s="1" t="s">
        <v>508</v>
      </c>
      <c r="G16" s="1"/>
      <c r="H16" s="1">
        <v>12234</v>
      </c>
      <c r="J16" s="1">
        <v>330</v>
      </c>
      <c r="K16" s="1">
        <v>875</v>
      </c>
      <c r="L16" s="1">
        <v>130</v>
      </c>
      <c r="M16" s="108">
        <f t="shared" si="0"/>
        <v>901.5151515151515</v>
      </c>
    </row>
    <row r="17" spans="1:23" ht="15.75" customHeight="1">
      <c r="A17" s="1">
        <f t="shared" si="2"/>
        <v>15</v>
      </c>
      <c r="B17" s="1" t="s">
        <v>31</v>
      </c>
      <c r="C17" s="9" t="s">
        <v>510</v>
      </c>
      <c r="D17" s="9">
        <v>25</v>
      </c>
      <c r="E17" s="1">
        <v>1</v>
      </c>
      <c r="F17" s="1" t="s">
        <v>508</v>
      </c>
      <c r="G17" s="1"/>
      <c r="H17" s="1">
        <v>13051</v>
      </c>
      <c r="J17" s="1">
        <v>395</v>
      </c>
      <c r="K17" s="1">
        <v>337</v>
      </c>
      <c r="L17" s="1">
        <v>320</v>
      </c>
      <c r="M17" s="108">
        <f t="shared" si="0"/>
        <v>290.07594936708864</v>
      </c>
    </row>
    <row r="18" spans="1:23" ht="15.75" customHeight="1">
      <c r="A18" s="1">
        <f t="shared" si="2"/>
        <v>16</v>
      </c>
      <c r="B18" s="1" t="s">
        <v>32</v>
      </c>
      <c r="C18" s="9" t="s">
        <v>506</v>
      </c>
      <c r="D18" s="9">
        <v>35</v>
      </c>
      <c r="E18" s="1">
        <v>2</v>
      </c>
      <c r="F18" s="1" t="s">
        <v>508</v>
      </c>
      <c r="G18" s="1"/>
      <c r="H18" s="1">
        <v>11994</v>
      </c>
      <c r="J18" s="1">
        <v>319</v>
      </c>
      <c r="K18" s="1">
        <v>870</v>
      </c>
      <c r="L18" s="1">
        <v>137</v>
      </c>
      <c r="M18" s="108">
        <f t="shared" si="0"/>
        <v>927.27272727272725</v>
      </c>
    </row>
    <row r="19" spans="1:23" ht="15.75" customHeight="1">
      <c r="A19" s="1">
        <f t="shared" si="2"/>
        <v>17</v>
      </c>
      <c r="B19" s="1" t="s">
        <v>34</v>
      </c>
      <c r="C19" s="9" t="s">
        <v>506</v>
      </c>
      <c r="D19" s="9">
        <v>35</v>
      </c>
      <c r="E19" s="1">
        <v>2</v>
      </c>
      <c r="F19" s="1" t="s">
        <v>508</v>
      </c>
      <c r="G19" s="1"/>
      <c r="H19" s="1">
        <v>10416</v>
      </c>
      <c r="I19" s="1">
        <v>30</v>
      </c>
      <c r="J19" s="1">
        <v>497</v>
      </c>
      <c r="K19" s="1">
        <v>937</v>
      </c>
      <c r="L19" s="1">
        <v>111</v>
      </c>
      <c r="M19" s="108">
        <f t="shared" si="0"/>
        <v>641.00603621730386</v>
      </c>
      <c r="R19" s="1">
        <v>11815</v>
      </c>
      <c r="T19" s="1">
        <v>315</v>
      </c>
      <c r="U19" s="1">
        <v>921</v>
      </c>
      <c r="V19" s="1">
        <v>106</v>
      </c>
      <c r="W19">
        <f>P2/T19*U19</f>
        <v>994.09523809523807</v>
      </c>
    </row>
    <row r="20" spans="1:23" ht="15.75" customHeight="1">
      <c r="A20" s="1">
        <v>18</v>
      </c>
      <c r="B20" s="1" t="s">
        <v>36</v>
      </c>
      <c r="C20" s="9" t="s">
        <v>506</v>
      </c>
      <c r="D20" s="9">
        <v>35</v>
      </c>
      <c r="E20" s="1">
        <v>2</v>
      </c>
      <c r="F20" s="1" t="s">
        <v>508</v>
      </c>
      <c r="G20" s="1"/>
      <c r="H20" s="1">
        <v>11824</v>
      </c>
      <c r="J20" s="1">
        <v>314</v>
      </c>
      <c r="K20" s="1">
        <v>1050</v>
      </c>
      <c r="L20" s="1">
        <v>70</v>
      </c>
      <c r="M20" s="108">
        <f t="shared" si="0"/>
        <v>1136.9426751592357</v>
      </c>
    </row>
    <row r="21" spans="1:23" ht="15.75" customHeight="1">
      <c r="A21" s="1">
        <f t="shared" ref="A21:A23" si="3">A20+1</f>
        <v>19</v>
      </c>
      <c r="B21" s="1" t="s">
        <v>38</v>
      </c>
      <c r="C21" s="9" t="s">
        <v>506</v>
      </c>
      <c r="D21" s="9">
        <v>45</v>
      </c>
      <c r="E21" s="1">
        <v>3</v>
      </c>
      <c r="F21" s="1" t="s">
        <v>507</v>
      </c>
      <c r="H21" s="1">
        <v>11639</v>
      </c>
      <c r="J21" s="1">
        <v>310</v>
      </c>
      <c r="K21" s="1">
        <v>1032</v>
      </c>
      <c r="L21" s="1">
        <v>70</v>
      </c>
      <c r="M21" s="108">
        <f t="shared" si="0"/>
        <v>1131.8709677419354</v>
      </c>
    </row>
    <row r="22" spans="1:23" ht="15.75" customHeight="1">
      <c r="A22" s="1">
        <f t="shared" si="3"/>
        <v>20</v>
      </c>
      <c r="B22" s="1" t="s">
        <v>40</v>
      </c>
      <c r="C22" s="9" t="s">
        <v>506</v>
      </c>
      <c r="D22" s="9">
        <v>45</v>
      </c>
      <c r="E22" s="1">
        <v>3</v>
      </c>
      <c r="F22" s="1" t="s">
        <v>507</v>
      </c>
      <c r="H22" s="1">
        <v>11389</v>
      </c>
      <c r="J22" s="1">
        <v>349</v>
      </c>
      <c r="K22" s="1">
        <v>1019</v>
      </c>
      <c r="L22" s="1">
        <v>73</v>
      </c>
      <c r="M22" s="108">
        <f t="shared" si="0"/>
        <v>992.72206303724931</v>
      </c>
    </row>
    <row r="23" spans="1:23" ht="15.75" customHeight="1">
      <c r="A23" s="1">
        <f t="shared" si="3"/>
        <v>21</v>
      </c>
      <c r="B23" s="1" t="s">
        <v>42</v>
      </c>
      <c r="C23" s="9" t="s">
        <v>506</v>
      </c>
      <c r="D23" s="9">
        <v>45</v>
      </c>
      <c r="E23" s="1">
        <v>3</v>
      </c>
      <c r="F23" s="1" t="s">
        <v>507</v>
      </c>
      <c r="H23" s="1">
        <v>11232</v>
      </c>
      <c r="J23" s="1">
        <v>308</v>
      </c>
      <c r="K23" s="1">
        <v>1193</v>
      </c>
      <c r="L23" s="1">
        <v>34</v>
      </c>
      <c r="M23" s="108">
        <f t="shared" si="0"/>
        <v>1316.9480519480519</v>
      </c>
    </row>
    <row r="24" spans="1:23" ht="15.75" customHeight="1">
      <c r="A24" s="1"/>
      <c r="B24" s="1"/>
      <c r="C24" s="1"/>
      <c r="D24" s="9"/>
      <c r="E24" s="9"/>
      <c r="F24" s="1"/>
      <c r="H24" s="1"/>
      <c r="J24" s="1"/>
      <c r="K24" s="1"/>
      <c r="L24" s="1"/>
      <c r="M24" s="99"/>
    </row>
    <row r="26" spans="1:23" ht="15.75" customHeight="1">
      <c r="C26" s="1" t="s">
        <v>44</v>
      </c>
      <c r="D26" s="1">
        <v>0.3</v>
      </c>
      <c r="G26" s="1" t="s">
        <v>48</v>
      </c>
    </row>
    <row r="27" spans="1:23" ht="15.75" customHeight="1">
      <c r="C27" s="1" t="s">
        <v>45</v>
      </c>
      <c r="D27" s="1" t="s">
        <v>46</v>
      </c>
      <c r="E27" s="1" t="s">
        <v>47</v>
      </c>
      <c r="F27" s="1" t="s">
        <v>300</v>
      </c>
      <c r="G27">
        <f>A17*200</f>
        <v>3000</v>
      </c>
    </row>
    <row r="28" spans="1:23" ht="15.75" customHeight="1">
      <c r="A28" s="1"/>
      <c r="B28" s="1" t="s">
        <v>511</v>
      </c>
      <c r="C28" s="1" t="s">
        <v>512</v>
      </c>
      <c r="D28" s="1" t="s">
        <v>50</v>
      </c>
      <c r="E28" s="1" t="s">
        <v>271</v>
      </c>
    </row>
    <row r="29" spans="1:23" ht="15.75" customHeight="1">
      <c r="C29" s="1" t="s">
        <v>52</v>
      </c>
      <c r="D29" s="1">
        <v>1000</v>
      </c>
      <c r="E29">
        <f>D29/$D$26-D29</f>
        <v>2333.3333333333335</v>
      </c>
      <c r="F29">
        <f>E29+D29</f>
        <v>3333.3333333333335</v>
      </c>
      <c r="H29" s="1"/>
      <c r="I29" s="1"/>
    </row>
    <row r="30" spans="1:23" ht="15.75" customHeight="1">
      <c r="A30" s="1"/>
      <c r="B30" s="1" t="s">
        <v>513</v>
      </c>
      <c r="C30" s="1" t="s">
        <v>514</v>
      </c>
      <c r="D30" s="1" t="s">
        <v>50</v>
      </c>
      <c r="E30" s="1" t="s">
        <v>98</v>
      </c>
    </row>
    <row r="31" spans="1:23" ht="15.75" customHeight="1">
      <c r="C31" s="1" t="s">
        <v>52</v>
      </c>
      <c r="D31" s="1">
        <v>300</v>
      </c>
      <c r="E31">
        <f>D31/$D$26-D31</f>
        <v>700</v>
      </c>
      <c r="F31">
        <f>E31+D31</f>
        <v>1000</v>
      </c>
    </row>
    <row r="32" spans="1:23" ht="15.75" customHeight="1">
      <c r="B32" s="1" t="s">
        <v>515</v>
      </c>
      <c r="C32" s="1" t="s">
        <v>516</v>
      </c>
      <c r="D32" s="1" t="s">
        <v>50</v>
      </c>
      <c r="E32" s="1" t="s">
        <v>517</v>
      </c>
    </row>
    <row r="33" spans="1:6" ht="15.75" customHeight="1">
      <c r="C33" s="1" t="s">
        <v>52</v>
      </c>
      <c r="D33" s="1">
        <v>300</v>
      </c>
      <c r="E33">
        <f>D33/$D$26-D33</f>
        <v>700</v>
      </c>
      <c r="F33">
        <f>E33+D33</f>
        <v>1000</v>
      </c>
    </row>
    <row r="34" spans="1:6" ht="15.75" customHeight="1">
      <c r="E34" s="1" t="s">
        <v>53</v>
      </c>
      <c r="F34" s="1">
        <f>E31+D31+E29+D29</f>
        <v>4333.3333333333339</v>
      </c>
    </row>
    <row r="35" spans="1:6" ht="15.75" customHeight="1">
      <c r="A35" s="1"/>
      <c r="E35" s="1"/>
      <c r="F35" s="1"/>
    </row>
    <row r="36" spans="1:6" ht="15.75" customHeight="1">
      <c r="A36" s="1"/>
      <c r="E36" s="1"/>
      <c r="F36" s="1"/>
    </row>
    <row r="37" spans="1:6" ht="15.75" customHeight="1">
      <c r="A37" s="1" t="s">
        <v>518</v>
      </c>
      <c r="E37" s="1"/>
      <c r="F37" s="1"/>
    </row>
    <row r="38" spans="1:6" ht="15.75" customHeight="1">
      <c r="A38" s="1" t="s">
        <v>519</v>
      </c>
      <c r="E38" s="1"/>
      <c r="F38" s="1"/>
    </row>
    <row r="39" spans="1:6" ht="12.75">
      <c r="A39" s="1" t="s">
        <v>520</v>
      </c>
      <c r="E39" s="1"/>
      <c r="F39" s="1"/>
    </row>
    <row r="40" spans="1:6" ht="12.75">
      <c r="A40" s="1" t="s">
        <v>521</v>
      </c>
    </row>
    <row r="41" spans="1:6" ht="12.75">
      <c r="A41" s="1" t="s">
        <v>522</v>
      </c>
    </row>
    <row r="42" spans="1:6" ht="12.75">
      <c r="A42" s="1" t="s">
        <v>523</v>
      </c>
    </row>
    <row r="43" spans="1:6" ht="12.75">
      <c r="A43" s="1" t="s">
        <v>524</v>
      </c>
    </row>
    <row r="44" spans="1:6" ht="12.75">
      <c r="A44" s="1" t="s">
        <v>525</v>
      </c>
    </row>
    <row r="45" spans="1:6" ht="12.75">
      <c r="A45" s="1"/>
    </row>
    <row r="46" spans="1:6" ht="12.75">
      <c r="A46" s="1" t="s">
        <v>526</v>
      </c>
    </row>
    <row r="47" spans="1:6" ht="12.75">
      <c r="A47" s="1" t="s">
        <v>527</v>
      </c>
    </row>
    <row r="48" spans="1:6" ht="12.75">
      <c r="A48" s="1" t="s">
        <v>528</v>
      </c>
    </row>
    <row r="49" spans="1:2" ht="12.75">
      <c r="A49" s="1" t="s">
        <v>529</v>
      </c>
    </row>
    <row r="50" spans="1:2" ht="12.75">
      <c r="A50" s="1" t="s">
        <v>530</v>
      </c>
    </row>
    <row r="51" spans="1:2" ht="12.75">
      <c r="A51" s="1" t="s">
        <v>531</v>
      </c>
    </row>
    <row r="52" spans="1:2" ht="12.75">
      <c r="A52" s="1" t="s">
        <v>532</v>
      </c>
    </row>
    <row r="53" spans="1:2" ht="12.75">
      <c r="A53" s="1" t="s">
        <v>533</v>
      </c>
    </row>
    <row r="54" spans="1:2" ht="12.75">
      <c r="A54" s="1" t="s">
        <v>534</v>
      </c>
    </row>
    <row r="55" spans="1:2" ht="12.75">
      <c r="A55" s="1" t="s">
        <v>535</v>
      </c>
      <c r="B55" s="1"/>
    </row>
    <row r="56" spans="1:2" ht="12.75">
      <c r="B56" s="1"/>
    </row>
    <row r="57" spans="1:2" ht="12.75">
      <c r="A57" s="1" t="s">
        <v>536</v>
      </c>
      <c r="B57" s="1"/>
    </row>
    <row r="58" spans="1:2" ht="12.75">
      <c r="A58" s="1" t="s">
        <v>537</v>
      </c>
      <c r="B58" s="1"/>
    </row>
    <row r="59" spans="1:2" ht="12.75">
      <c r="A59" s="1" t="s">
        <v>538</v>
      </c>
      <c r="B59" s="1"/>
    </row>
    <row r="60" spans="1:2" ht="12.75">
      <c r="A60" s="1" t="s">
        <v>539</v>
      </c>
      <c r="B60" s="1"/>
    </row>
    <row r="61" spans="1:2" ht="12.75">
      <c r="A61" s="1" t="s">
        <v>540</v>
      </c>
      <c r="B61" s="1"/>
    </row>
    <row r="62" spans="1:2" ht="12.75">
      <c r="A62" s="1" t="s">
        <v>541</v>
      </c>
      <c r="B62" s="1"/>
    </row>
    <row r="63" spans="1:2" ht="12.75">
      <c r="A63" s="1" t="s">
        <v>542</v>
      </c>
      <c r="B63" s="1"/>
    </row>
    <row r="64" spans="1:2" ht="12.75">
      <c r="A64" s="1" t="s">
        <v>543</v>
      </c>
    </row>
    <row r="65" spans="1:4" ht="12.75">
      <c r="A65" s="1" t="s">
        <v>544</v>
      </c>
      <c r="B65" s="1"/>
    </row>
    <row r="66" spans="1:4" ht="12.75">
      <c r="A66" s="1"/>
      <c r="B66" s="1"/>
      <c r="D66" s="1" t="s">
        <v>545</v>
      </c>
    </row>
    <row r="67" spans="1:4" ht="12.75">
      <c r="A67" s="1" t="s">
        <v>546</v>
      </c>
      <c r="B67" s="1"/>
    </row>
    <row r="68" spans="1:4" ht="12.75">
      <c r="A68" s="1" t="s">
        <v>547</v>
      </c>
    </row>
    <row r="69" spans="1:4" ht="12.75">
      <c r="A69" s="1" t="s">
        <v>548</v>
      </c>
    </row>
    <row r="70" spans="1:4" ht="12.75">
      <c r="A70" s="1" t="s">
        <v>549</v>
      </c>
    </row>
    <row r="71" spans="1:4" ht="12.75">
      <c r="A71" s="1" t="s">
        <v>550</v>
      </c>
    </row>
    <row r="72" spans="1:4" ht="12.75">
      <c r="A72" s="1" t="s">
        <v>551</v>
      </c>
    </row>
    <row r="73" spans="1:4" ht="12.75">
      <c r="A73" s="1" t="s">
        <v>552</v>
      </c>
    </row>
    <row r="74" spans="1:4" ht="12.75">
      <c r="A74"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workbookViewId="0"/>
  </sheetViews>
  <sheetFormatPr defaultColWidth="14.42578125" defaultRowHeight="15.75" customHeight="1"/>
  <cols>
    <col min="1" max="1" width="10.85546875" customWidth="1"/>
    <col min="2" max="4" width="11.42578125" customWidth="1"/>
    <col min="6" max="6" width="26.28515625" customWidth="1"/>
    <col min="7" max="7" width="21.42578125" customWidth="1"/>
    <col min="8" max="8" width="28.5703125" customWidth="1"/>
    <col min="9" max="9" width="44.140625" customWidth="1"/>
    <col min="11" max="11" width="7.7109375" customWidth="1"/>
    <col min="12" max="14" width="9.7109375" customWidth="1"/>
  </cols>
  <sheetData>
    <row r="1" spans="1:17" ht="12.75">
      <c r="A1" s="1" t="s">
        <v>322</v>
      </c>
      <c r="B1" s="1" t="s">
        <v>1</v>
      </c>
      <c r="C1" s="1" t="s">
        <v>553</v>
      </c>
      <c r="D1" s="1" t="s">
        <v>97</v>
      </c>
      <c r="E1" s="1" t="s">
        <v>554</v>
      </c>
      <c r="F1" s="1" t="s">
        <v>504</v>
      </c>
      <c r="G1" s="1" t="s">
        <v>555</v>
      </c>
      <c r="H1" s="1" t="s">
        <v>395</v>
      </c>
      <c r="I1" s="1"/>
      <c r="J1" s="1" t="s">
        <v>6</v>
      </c>
      <c r="K1" s="1" t="s">
        <v>7</v>
      </c>
      <c r="L1" s="1" t="s">
        <v>8</v>
      </c>
      <c r="M1" s="1" t="s">
        <v>9</v>
      </c>
      <c r="N1" s="1" t="s">
        <v>10</v>
      </c>
      <c r="O1" s="2" t="s">
        <v>11</v>
      </c>
      <c r="P1" s="1" t="s">
        <v>13</v>
      </c>
      <c r="Q1" s="103" t="s">
        <v>397</v>
      </c>
    </row>
    <row r="2" spans="1:17" ht="12.75">
      <c r="O2" s="99"/>
      <c r="Q2" s="1">
        <v>340</v>
      </c>
    </row>
    <row r="3" spans="1:17" ht="12.75">
      <c r="A3" s="1">
        <v>1</v>
      </c>
      <c r="B3" s="1" t="s">
        <v>17</v>
      </c>
      <c r="C3" s="1" t="s">
        <v>513</v>
      </c>
      <c r="D3" s="105" t="s">
        <v>506</v>
      </c>
      <c r="E3" s="105">
        <v>60</v>
      </c>
      <c r="F3" s="105">
        <v>2</v>
      </c>
      <c r="G3" s="1" t="s">
        <v>556</v>
      </c>
      <c r="H3" s="1">
        <v>4</v>
      </c>
      <c r="I3" s="1"/>
      <c r="J3" s="1">
        <v>13260</v>
      </c>
      <c r="K3" s="1"/>
      <c r="L3" s="1">
        <v>336</v>
      </c>
      <c r="M3" s="1">
        <v>816</v>
      </c>
      <c r="N3" s="1">
        <v>170</v>
      </c>
      <c r="O3" s="108">
        <f t="shared" ref="O3:O24" si="0">$Q$2/L3*M3</f>
        <v>825.71428571428567</v>
      </c>
    </row>
    <row r="4" spans="1:17" ht="12.75">
      <c r="A4" s="1">
        <f t="shared" ref="A4:A5" si="1">A3+1</f>
        <v>2</v>
      </c>
      <c r="B4" s="1" t="s">
        <v>18</v>
      </c>
      <c r="C4" s="1" t="s">
        <v>513</v>
      </c>
      <c r="D4" s="105" t="s">
        <v>506</v>
      </c>
      <c r="E4" s="105">
        <v>60</v>
      </c>
      <c r="F4" s="105">
        <v>2</v>
      </c>
      <c r="G4" s="1" t="s">
        <v>556</v>
      </c>
      <c r="H4" s="1">
        <v>4</v>
      </c>
      <c r="I4" s="1"/>
      <c r="J4" s="1">
        <v>13454</v>
      </c>
      <c r="L4" s="1">
        <v>351</v>
      </c>
      <c r="M4" s="1">
        <v>777</v>
      </c>
      <c r="N4" s="1">
        <v>194</v>
      </c>
      <c r="O4" s="108">
        <f t="shared" si="0"/>
        <v>752.64957264957263</v>
      </c>
    </row>
    <row r="5" spans="1:17" ht="12.75">
      <c r="A5" s="1">
        <f t="shared" si="1"/>
        <v>3</v>
      </c>
      <c r="B5" s="1" t="s">
        <v>19</v>
      </c>
      <c r="C5" s="1" t="s">
        <v>511</v>
      </c>
      <c r="D5" s="105" t="s">
        <v>510</v>
      </c>
      <c r="E5" s="105">
        <v>60</v>
      </c>
      <c r="F5" s="105">
        <v>2</v>
      </c>
      <c r="G5" s="1" t="s">
        <v>556</v>
      </c>
      <c r="H5" s="1">
        <v>4</v>
      </c>
      <c r="I5" s="1"/>
      <c r="J5" s="1">
        <v>12547</v>
      </c>
      <c r="L5" s="1">
        <v>335</v>
      </c>
      <c r="M5" s="1">
        <v>842</v>
      </c>
      <c r="N5" s="1">
        <v>142</v>
      </c>
      <c r="O5" s="108">
        <f t="shared" si="0"/>
        <v>854.56716417910457</v>
      </c>
    </row>
    <row r="6" spans="1:17" ht="12.75">
      <c r="A6" s="1">
        <v>4</v>
      </c>
      <c r="B6" s="1" t="s">
        <v>20</v>
      </c>
      <c r="C6" s="1" t="s">
        <v>511</v>
      </c>
      <c r="D6" s="105" t="s">
        <v>510</v>
      </c>
      <c r="E6" s="105">
        <v>60</v>
      </c>
      <c r="F6" s="105">
        <v>2</v>
      </c>
      <c r="G6" s="1" t="s">
        <v>556</v>
      </c>
      <c r="H6" s="1">
        <v>4</v>
      </c>
      <c r="I6" s="1"/>
      <c r="J6" s="1">
        <v>12561</v>
      </c>
      <c r="L6" s="1">
        <v>328</v>
      </c>
      <c r="M6" s="1">
        <v>953</v>
      </c>
      <c r="N6" s="1">
        <v>105</v>
      </c>
      <c r="O6" s="108">
        <f t="shared" si="0"/>
        <v>987.86585365853659</v>
      </c>
    </row>
    <row r="7" spans="1:17" ht="12.75">
      <c r="A7" s="14">
        <f t="shared" ref="A7:A24" si="2">A6+1</f>
        <v>5</v>
      </c>
      <c r="B7" s="14" t="s">
        <v>21</v>
      </c>
      <c r="C7" s="14" t="s">
        <v>513</v>
      </c>
      <c r="D7" s="104" t="s">
        <v>506</v>
      </c>
      <c r="E7" s="104">
        <v>60</v>
      </c>
      <c r="F7" s="104">
        <v>5</v>
      </c>
      <c r="G7" s="14" t="s">
        <v>557</v>
      </c>
      <c r="H7" s="1">
        <v>6</v>
      </c>
      <c r="I7" s="1"/>
      <c r="J7" s="1">
        <v>12169</v>
      </c>
      <c r="L7" s="1">
        <v>332</v>
      </c>
      <c r="M7" s="1">
        <v>940</v>
      </c>
      <c r="N7" s="1">
        <v>110</v>
      </c>
      <c r="O7" s="108">
        <f t="shared" si="0"/>
        <v>962.65060240963862</v>
      </c>
    </row>
    <row r="8" spans="1:17" ht="12.75">
      <c r="A8" s="1">
        <f t="shared" si="2"/>
        <v>6</v>
      </c>
      <c r="B8" s="1" t="s">
        <v>22</v>
      </c>
      <c r="C8" s="1" t="s">
        <v>513</v>
      </c>
      <c r="D8" s="105" t="s">
        <v>506</v>
      </c>
      <c r="E8" s="105">
        <v>60</v>
      </c>
      <c r="F8" s="105">
        <v>5</v>
      </c>
      <c r="G8" s="1" t="s">
        <v>557</v>
      </c>
      <c r="H8" s="1">
        <v>6</v>
      </c>
      <c r="I8" s="1"/>
      <c r="J8" s="1">
        <v>12433</v>
      </c>
      <c r="L8" s="1">
        <v>319</v>
      </c>
      <c r="M8" s="1">
        <v>836</v>
      </c>
      <c r="N8" s="1">
        <v>140</v>
      </c>
      <c r="O8" s="108">
        <f t="shared" si="0"/>
        <v>891.0344827586207</v>
      </c>
    </row>
    <row r="9" spans="1:17" ht="12.75">
      <c r="A9" s="1">
        <f t="shared" si="2"/>
        <v>7</v>
      </c>
      <c r="B9" s="1" t="s">
        <v>23</v>
      </c>
      <c r="C9" s="1" t="s">
        <v>513</v>
      </c>
      <c r="D9" s="105" t="s">
        <v>506</v>
      </c>
      <c r="E9" s="105">
        <v>60</v>
      </c>
      <c r="F9" s="105">
        <v>5</v>
      </c>
      <c r="G9" s="1" t="s">
        <v>557</v>
      </c>
      <c r="H9" s="1">
        <v>6</v>
      </c>
      <c r="I9" s="1"/>
      <c r="J9" s="1">
        <v>12895</v>
      </c>
      <c r="L9" s="1">
        <v>327</v>
      </c>
      <c r="M9" s="1">
        <v>643</v>
      </c>
      <c r="N9" s="1">
        <v>200</v>
      </c>
      <c r="O9" s="108">
        <f t="shared" si="0"/>
        <v>668.56269113149847</v>
      </c>
    </row>
    <row r="10" spans="1:17" ht="12.75">
      <c r="A10" s="1">
        <f t="shared" si="2"/>
        <v>8</v>
      </c>
      <c r="B10" s="1" t="s">
        <v>24</v>
      </c>
      <c r="C10" s="1" t="s">
        <v>511</v>
      </c>
      <c r="D10" s="105" t="s">
        <v>510</v>
      </c>
      <c r="E10" s="105">
        <v>60</v>
      </c>
      <c r="F10" s="105">
        <v>10</v>
      </c>
      <c r="G10" s="1" t="s">
        <v>557</v>
      </c>
      <c r="H10" s="1">
        <v>5</v>
      </c>
      <c r="I10" s="1"/>
      <c r="J10" s="1">
        <v>11849</v>
      </c>
      <c r="L10" s="1">
        <v>397</v>
      </c>
      <c r="M10" s="1">
        <v>792</v>
      </c>
      <c r="N10" s="1">
        <v>138</v>
      </c>
      <c r="O10" s="108">
        <f t="shared" si="0"/>
        <v>678.28715365239293</v>
      </c>
    </row>
    <row r="11" spans="1:17" ht="12.75">
      <c r="A11" s="1">
        <f t="shared" si="2"/>
        <v>9</v>
      </c>
      <c r="B11" s="1" t="s">
        <v>25</v>
      </c>
      <c r="C11" s="1" t="s">
        <v>511</v>
      </c>
      <c r="D11" s="105" t="s">
        <v>510</v>
      </c>
      <c r="E11" s="105">
        <v>60</v>
      </c>
      <c r="F11" s="105">
        <v>10</v>
      </c>
      <c r="G11" s="1" t="s">
        <v>557</v>
      </c>
      <c r="H11" s="1">
        <v>5</v>
      </c>
      <c r="I11" s="1"/>
      <c r="J11" s="1">
        <v>12140</v>
      </c>
      <c r="L11" s="1">
        <v>318</v>
      </c>
      <c r="M11" s="1">
        <v>912</v>
      </c>
      <c r="N11" s="1">
        <v>102</v>
      </c>
      <c r="O11" s="108">
        <f t="shared" si="0"/>
        <v>975.09433962264154</v>
      </c>
    </row>
    <row r="12" spans="1:17" ht="12.75">
      <c r="A12" s="1">
        <f t="shared" si="2"/>
        <v>10</v>
      </c>
      <c r="B12" s="1" t="s">
        <v>26</v>
      </c>
      <c r="C12" s="1" t="s">
        <v>511</v>
      </c>
      <c r="D12" s="105" t="s">
        <v>510</v>
      </c>
      <c r="E12" s="105">
        <v>60</v>
      </c>
      <c r="F12" s="105">
        <v>10</v>
      </c>
      <c r="G12" s="1" t="s">
        <v>557</v>
      </c>
      <c r="H12" s="1">
        <v>5</v>
      </c>
      <c r="I12" s="1"/>
      <c r="J12" s="1">
        <v>12351</v>
      </c>
      <c r="L12" s="1">
        <v>314</v>
      </c>
      <c r="M12" s="1">
        <v>825</v>
      </c>
      <c r="N12" s="1">
        <v>136</v>
      </c>
      <c r="O12" s="108">
        <f t="shared" si="0"/>
        <v>893.31210191082801</v>
      </c>
    </row>
    <row r="13" spans="1:17" ht="12.75">
      <c r="A13" s="14">
        <f t="shared" si="2"/>
        <v>11</v>
      </c>
      <c r="B13" s="14" t="s">
        <v>27</v>
      </c>
      <c r="C13" s="14" t="s">
        <v>513</v>
      </c>
      <c r="D13" s="104" t="s">
        <v>506</v>
      </c>
      <c r="E13" s="104">
        <v>0</v>
      </c>
      <c r="F13" s="104">
        <v>10</v>
      </c>
      <c r="G13" s="14" t="s">
        <v>557</v>
      </c>
      <c r="H13" s="1">
        <v>1</v>
      </c>
      <c r="I13" s="1"/>
      <c r="J13" s="1">
        <v>11412</v>
      </c>
      <c r="L13" s="1">
        <v>305</v>
      </c>
      <c r="M13" s="1">
        <v>1226</v>
      </c>
      <c r="N13" s="1">
        <v>16.2</v>
      </c>
      <c r="O13" s="108">
        <f t="shared" si="0"/>
        <v>1366.6885245901638</v>
      </c>
    </row>
    <row r="14" spans="1:17" ht="12.75">
      <c r="A14" s="1">
        <f t="shared" si="2"/>
        <v>12</v>
      </c>
      <c r="B14" s="1" t="s">
        <v>28</v>
      </c>
      <c r="C14" s="1" t="s">
        <v>513</v>
      </c>
      <c r="D14" s="105" t="s">
        <v>506</v>
      </c>
      <c r="E14" s="105">
        <v>0</v>
      </c>
      <c r="F14" s="105">
        <v>10</v>
      </c>
      <c r="G14" s="1" t="s">
        <v>557</v>
      </c>
      <c r="H14" s="1">
        <v>1</v>
      </c>
      <c r="I14" s="1"/>
      <c r="J14" s="1">
        <v>11351</v>
      </c>
      <c r="L14" s="1">
        <v>313</v>
      </c>
      <c r="M14" s="1">
        <v>1225</v>
      </c>
      <c r="N14" s="1">
        <v>16.100000000000001</v>
      </c>
      <c r="O14" s="108">
        <f t="shared" si="0"/>
        <v>1330.6709265175718</v>
      </c>
    </row>
    <row r="15" spans="1:17" ht="12.75">
      <c r="A15" s="1">
        <f t="shared" si="2"/>
        <v>13</v>
      </c>
      <c r="B15" s="1" t="s">
        <v>29</v>
      </c>
      <c r="C15" s="1" t="s">
        <v>513</v>
      </c>
      <c r="D15" s="105" t="s">
        <v>506</v>
      </c>
      <c r="E15" s="105">
        <v>0</v>
      </c>
      <c r="F15" s="105">
        <v>15</v>
      </c>
      <c r="G15" s="1" t="s">
        <v>557</v>
      </c>
      <c r="H15" s="1">
        <v>3</v>
      </c>
      <c r="I15" s="1"/>
      <c r="J15" s="1">
        <v>12660</v>
      </c>
      <c r="L15" s="1">
        <v>336</v>
      </c>
      <c r="M15" s="1">
        <v>848</v>
      </c>
      <c r="N15" s="1">
        <v>168</v>
      </c>
      <c r="O15" s="108">
        <f t="shared" si="0"/>
        <v>858.09523809523807</v>
      </c>
    </row>
    <row r="16" spans="1:17" ht="12.75">
      <c r="A16" s="1">
        <f t="shared" si="2"/>
        <v>14</v>
      </c>
      <c r="B16" s="1" t="s">
        <v>30</v>
      </c>
      <c r="C16" s="1" t="s">
        <v>513</v>
      </c>
      <c r="D16" s="105" t="s">
        <v>506</v>
      </c>
      <c r="E16" s="105">
        <v>0</v>
      </c>
      <c r="F16" s="105">
        <v>15</v>
      </c>
      <c r="G16" s="1" t="s">
        <v>557</v>
      </c>
      <c r="H16" s="1">
        <v>3</v>
      </c>
      <c r="I16" s="1"/>
      <c r="J16" s="1">
        <v>12626</v>
      </c>
      <c r="L16" s="1">
        <v>334</v>
      </c>
      <c r="M16" s="1">
        <v>749</v>
      </c>
      <c r="N16" s="1">
        <v>184</v>
      </c>
      <c r="O16" s="108">
        <f t="shared" si="0"/>
        <v>762.45508982035926</v>
      </c>
    </row>
    <row r="17" spans="1:15" ht="12.75">
      <c r="A17" s="1">
        <f t="shared" si="2"/>
        <v>15</v>
      </c>
      <c r="B17" s="1" t="s">
        <v>31</v>
      </c>
      <c r="C17" s="1" t="s">
        <v>513</v>
      </c>
      <c r="D17" s="105" t="s">
        <v>506</v>
      </c>
      <c r="E17" s="105">
        <v>0</v>
      </c>
      <c r="F17" s="105">
        <v>25</v>
      </c>
      <c r="G17" s="1" t="s">
        <v>557</v>
      </c>
      <c r="H17" s="1">
        <v>2</v>
      </c>
      <c r="I17" s="1"/>
      <c r="J17" s="1">
        <v>12949</v>
      </c>
      <c r="L17" s="1">
        <v>356</v>
      </c>
      <c r="M17" s="1">
        <v>609</v>
      </c>
      <c r="N17" s="1">
        <v>242</v>
      </c>
      <c r="O17" s="108">
        <f t="shared" si="0"/>
        <v>581.62921348314603</v>
      </c>
    </row>
    <row r="18" spans="1:15" ht="12.75">
      <c r="A18" s="1">
        <f t="shared" si="2"/>
        <v>16</v>
      </c>
      <c r="B18" s="1" t="s">
        <v>32</v>
      </c>
      <c r="C18" s="1" t="s">
        <v>513</v>
      </c>
      <c r="D18" s="105" t="s">
        <v>506</v>
      </c>
      <c r="E18" s="105">
        <v>0</v>
      </c>
      <c r="F18" s="105">
        <v>25</v>
      </c>
      <c r="G18" s="1" t="s">
        <v>557</v>
      </c>
      <c r="H18" s="1" t="s">
        <v>558</v>
      </c>
      <c r="I18" s="1" t="s">
        <v>559</v>
      </c>
      <c r="J18" s="1">
        <v>13148</v>
      </c>
      <c r="L18" s="1">
        <v>366</v>
      </c>
      <c r="M18" s="1">
        <v>566</v>
      </c>
      <c r="N18" s="1">
        <v>239</v>
      </c>
      <c r="O18" s="108">
        <f t="shared" si="0"/>
        <v>525.79234972677602</v>
      </c>
    </row>
    <row r="19" spans="1:15" ht="12.75">
      <c r="A19" s="1">
        <f t="shared" si="2"/>
        <v>17</v>
      </c>
      <c r="B19" s="1" t="s">
        <v>34</v>
      </c>
      <c r="C19" s="1" t="s">
        <v>511</v>
      </c>
      <c r="D19" s="105" t="s">
        <v>510</v>
      </c>
      <c r="E19" s="105">
        <v>0</v>
      </c>
      <c r="F19" s="105">
        <v>10</v>
      </c>
      <c r="G19" s="1" t="s">
        <v>557</v>
      </c>
      <c r="H19" s="1">
        <v>1</v>
      </c>
      <c r="I19" s="1"/>
      <c r="J19" s="1">
        <v>11027</v>
      </c>
      <c r="L19" s="1">
        <v>337</v>
      </c>
      <c r="M19" s="1">
        <v>1214</v>
      </c>
      <c r="N19" s="1">
        <v>18</v>
      </c>
      <c r="O19" s="108">
        <f t="shared" si="0"/>
        <v>1224.8071216617211</v>
      </c>
    </row>
    <row r="20" spans="1:15" ht="12.75">
      <c r="A20" s="1">
        <f t="shared" si="2"/>
        <v>18</v>
      </c>
      <c r="B20" s="1" t="s">
        <v>36</v>
      </c>
      <c r="C20" s="1" t="s">
        <v>511</v>
      </c>
      <c r="D20" s="105" t="s">
        <v>510</v>
      </c>
      <c r="E20" s="105">
        <v>0</v>
      </c>
      <c r="F20" s="105">
        <v>10</v>
      </c>
      <c r="G20" s="1" t="s">
        <v>557</v>
      </c>
      <c r="H20" s="1" t="s">
        <v>560</v>
      </c>
      <c r="I20" s="1"/>
      <c r="J20" s="1">
        <v>11515</v>
      </c>
      <c r="L20" s="1">
        <v>305</v>
      </c>
      <c r="M20" s="1">
        <v>1226</v>
      </c>
      <c r="N20" s="1">
        <v>21</v>
      </c>
      <c r="O20" s="108">
        <f t="shared" si="0"/>
        <v>1366.6885245901638</v>
      </c>
    </row>
    <row r="21" spans="1:15" ht="16.5" customHeight="1">
      <c r="A21" s="1">
        <f t="shared" si="2"/>
        <v>19</v>
      </c>
      <c r="B21" s="1" t="s">
        <v>38</v>
      </c>
      <c r="C21" s="1" t="s">
        <v>511</v>
      </c>
      <c r="D21" s="105" t="s">
        <v>510</v>
      </c>
      <c r="E21" s="105">
        <v>0</v>
      </c>
      <c r="F21" s="105">
        <v>15</v>
      </c>
      <c r="G21" s="1" t="s">
        <v>557</v>
      </c>
      <c r="H21" s="1">
        <v>3</v>
      </c>
      <c r="J21" s="1">
        <v>13622</v>
      </c>
      <c r="L21" s="1">
        <v>463</v>
      </c>
      <c r="M21" s="1">
        <v>194</v>
      </c>
      <c r="N21" s="1">
        <v>363</v>
      </c>
      <c r="O21" s="108">
        <f t="shared" si="0"/>
        <v>142.46220302375809</v>
      </c>
    </row>
    <row r="22" spans="1:15" ht="12.75">
      <c r="A22" s="1">
        <f t="shared" si="2"/>
        <v>20</v>
      </c>
      <c r="B22" s="1" t="s">
        <v>40</v>
      </c>
      <c r="C22" s="1" t="s">
        <v>511</v>
      </c>
      <c r="D22" s="105" t="s">
        <v>510</v>
      </c>
      <c r="E22" s="105">
        <v>0</v>
      </c>
      <c r="F22" s="105">
        <v>15</v>
      </c>
      <c r="G22" s="1" t="s">
        <v>557</v>
      </c>
      <c r="H22" s="1">
        <v>3</v>
      </c>
      <c r="J22" s="1">
        <v>11238</v>
      </c>
      <c r="L22" s="1">
        <v>329</v>
      </c>
      <c r="M22" s="1">
        <v>1167</v>
      </c>
      <c r="N22" s="1">
        <v>32</v>
      </c>
      <c r="O22" s="108">
        <f t="shared" si="0"/>
        <v>1206.0182370820669</v>
      </c>
    </row>
    <row r="23" spans="1:15" ht="12.75">
      <c r="A23" s="1">
        <f t="shared" si="2"/>
        <v>21</v>
      </c>
      <c r="B23" s="1" t="s">
        <v>42</v>
      </c>
      <c r="C23" s="1" t="s">
        <v>511</v>
      </c>
      <c r="D23" s="105" t="s">
        <v>510</v>
      </c>
      <c r="E23" s="105">
        <v>0</v>
      </c>
      <c r="F23" s="105">
        <v>25</v>
      </c>
      <c r="G23" s="1" t="s">
        <v>557</v>
      </c>
      <c r="H23" s="1">
        <v>2</v>
      </c>
      <c r="J23" s="1">
        <v>13534</v>
      </c>
      <c r="L23" s="1">
        <v>413</v>
      </c>
      <c r="M23" s="1">
        <v>325</v>
      </c>
      <c r="N23" s="1">
        <v>339</v>
      </c>
      <c r="O23" s="108">
        <f t="shared" si="0"/>
        <v>267.55447941888622</v>
      </c>
    </row>
    <row r="24" spans="1:15" ht="12.75">
      <c r="A24" s="1">
        <f t="shared" si="2"/>
        <v>22</v>
      </c>
      <c r="B24" s="1" t="s">
        <v>400</v>
      </c>
      <c r="C24" s="1" t="s">
        <v>511</v>
      </c>
      <c r="D24" s="105" t="s">
        <v>510</v>
      </c>
      <c r="E24" s="105">
        <v>0</v>
      </c>
      <c r="F24" s="105">
        <v>25</v>
      </c>
      <c r="G24" s="1" t="s">
        <v>557</v>
      </c>
      <c r="H24" s="1">
        <v>2</v>
      </c>
      <c r="J24" s="1">
        <v>13732</v>
      </c>
      <c r="L24" s="1">
        <v>405</v>
      </c>
      <c r="M24" s="1">
        <v>356</v>
      </c>
      <c r="N24" s="1">
        <v>333</v>
      </c>
      <c r="O24" s="108">
        <f t="shared" si="0"/>
        <v>298.8641975308642</v>
      </c>
    </row>
    <row r="26" spans="1:15" ht="12.75">
      <c r="C26" s="1" t="s">
        <v>44</v>
      </c>
      <c r="D26" s="1">
        <v>0.3</v>
      </c>
    </row>
    <row r="27" spans="1:15" ht="12.75">
      <c r="C27" s="1" t="s">
        <v>45</v>
      </c>
      <c r="D27" s="1" t="s">
        <v>46</v>
      </c>
      <c r="E27" s="1" t="s">
        <v>47</v>
      </c>
      <c r="G27" s="1" t="s">
        <v>48</v>
      </c>
      <c r="H27">
        <f>A24*200</f>
        <v>4400</v>
      </c>
    </row>
    <row r="28" spans="1:15" ht="12.75">
      <c r="A28" s="1"/>
      <c r="B28" s="1" t="s">
        <v>511</v>
      </c>
      <c r="C28" s="1" t="s">
        <v>512</v>
      </c>
      <c r="D28" s="1" t="s">
        <v>50</v>
      </c>
      <c r="E28" s="1" t="s">
        <v>271</v>
      </c>
    </row>
    <row r="29" spans="1:15" ht="12.75">
      <c r="C29" s="1" t="s">
        <v>52</v>
      </c>
      <c r="D29" s="1">
        <v>700</v>
      </c>
      <c r="E29">
        <f>D29/$D$26-D29</f>
        <v>1633.3333333333335</v>
      </c>
    </row>
    <row r="30" spans="1:15" ht="12.75">
      <c r="A30" s="1"/>
      <c r="B30" s="1" t="s">
        <v>513</v>
      </c>
      <c r="C30" s="1" t="s">
        <v>561</v>
      </c>
      <c r="D30" s="1" t="s">
        <v>50</v>
      </c>
      <c r="E30" s="1" t="s">
        <v>98</v>
      </c>
    </row>
    <row r="31" spans="1:15" ht="12.75">
      <c r="C31" s="1" t="s">
        <v>52</v>
      </c>
      <c r="D31" s="1">
        <v>700</v>
      </c>
      <c r="E31">
        <f>D31/$D$26-D31</f>
        <v>1633.3333333333335</v>
      </c>
    </row>
    <row r="32" spans="1:15" ht="12.75">
      <c r="C32" s="1" t="s">
        <v>562</v>
      </c>
      <c r="D32" s="1" t="s">
        <v>50</v>
      </c>
      <c r="E32" s="1" t="s">
        <v>271</v>
      </c>
    </row>
    <row r="33" spans="1:9" ht="12.75">
      <c r="D33" s="1">
        <v>50</v>
      </c>
      <c r="E33">
        <f>D33/$D$26-D33</f>
        <v>116.66666666666669</v>
      </c>
    </row>
    <row r="34" spans="1:9" ht="12.75">
      <c r="E34" s="1" t="s">
        <v>53</v>
      </c>
      <c r="F34" s="1">
        <f>E31+D31+E29+D29</f>
        <v>4666.666666666667</v>
      </c>
    </row>
    <row r="35" spans="1:9" ht="12.75">
      <c r="A35" s="1" t="s">
        <v>518</v>
      </c>
      <c r="E35" s="1"/>
      <c r="F35" s="1"/>
    </row>
    <row r="36" spans="1:9" ht="12.75">
      <c r="A36" s="1" t="s">
        <v>519</v>
      </c>
      <c r="E36" s="1"/>
      <c r="F36" s="1"/>
    </row>
    <row r="37" spans="1:9" ht="12.75">
      <c r="A37" s="1" t="s">
        <v>520</v>
      </c>
      <c r="E37" s="1"/>
      <c r="F37" s="1"/>
    </row>
    <row r="38" spans="1:9" ht="12.75">
      <c r="A38" s="1" t="s">
        <v>521</v>
      </c>
    </row>
    <row r="39" spans="1:9" ht="12.75">
      <c r="A39" s="1" t="s">
        <v>522</v>
      </c>
    </row>
    <row r="40" spans="1:9" ht="12.75">
      <c r="A40" s="1" t="s">
        <v>523</v>
      </c>
    </row>
    <row r="41" spans="1:9" ht="12.75">
      <c r="A41" s="1" t="s">
        <v>524</v>
      </c>
    </row>
    <row r="42" spans="1:9" ht="12.75">
      <c r="A42" s="1"/>
      <c r="I42" s="1" t="s">
        <v>563</v>
      </c>
    </row>
    <row r="43" spans="1:9" ht="12.75">
      <c r="A43" s="1" t="s">
        <v>564</v>
      </c>
      <c r="I43" s="1" t="s">
        <v>565</v>
      </c>
    </row>
    <row r="44" spans="1:9" ht="12.75">
      <c r="A44" s="1" t="s">
        <v>527</v>
      </c>
      <c r="I44" s="1" t="s">
        <v>566</v>
      </c>
    </row>
    <row r="45" spans="1:9" ht="12.75">
      <c r="A45" s="1" t="s">
        <v>567</v>
      </c>
      <c r="I45" s="1" t="s">
        <v>568</v>
      </c>
    </row>
    <row r="46" spans="1:9" ht="12.75">
      <c r="A46" s="1" t="s">
        <v>569</v>
      </c>
      <c r="I46" s="1" t="s">
        <v>570</v>
      </c>
    </row>
    <row r="47" spans="1:9" ht="12.75">
      <c r="A47" s="1" t="s">
        <v>571</v>
      </c>
      <c r="I47" s="1" t="s">
        <v>572</v>
      </c>
    </row>
    <row r="48" spans="1:9" ht="12.75">
      <c r="A48" s="1" t="s">
        <v>530</v>
      </c>
      <c r="I48" s="1" t="s">
        <v>541</v>
      </c>
    </row>
    <row r="49" spans="1:9" ht="12.75">
      <c r="A49" s="1" t="s">
        <v>573</v>
      </c>
      <c r="I49" s="1" t="s">
        <v>574</v>
      </c>
    </row>
    <row r="50" spans="1:9" ht="12.75">
      <c r="A50" s="1" t="s">
        <v>575</v>
      </c>
    </row>
    <row r="51" spans="1:9" ht="12.75">
      <c r="A51" s="1" t="s">
        <v>576</v>
      </c>
      <c r="I51" s="1" t="s">
        <v>577</v>
      </c>
    </row>
    <row r="52" spans="1:9" ht="12.75">
      <c r="A52" s="1" t="s">
        <v>578</v>
      </c>
      <c r="B52" s="1"/>
      <c r="I52" s="1" t="s">
        <v>579</v>
      </c>
    </row>
    <row r="53" spans="1:9" ht="12.75">
      <c r="A53" s="1" t="s">
        <v>580</v>
      </c>
      <c r="B53" s="1"/>
      <c r="I53" s="1" t="s">
        <v>545</v>
      </c>
    </row>
    <row r="54" spans="1:9" ht="12.75">
      <c r="A54" s="1" t="s">
        <v>581</v>
      </c>
      <c r="B54" s="1"/>
    </row>
    <row r="55" spans="1:9" ht="12.75">
      <c r="A55" s="1"/>
      <c r="B55" s="1"/>
    </row>
    <row r="56" spans="1:9" ht="12.75">
      <c r="A56" s="1"/>
      <c r="B56" s="1"/>
    </row>
    <row r="57" spans="1:9" ht="12.75">
      <c r="A57" s="1"/>
      <c r="B57" s="1"/>
    </row>
    <row r="58" spans="1:9" ht="12.75">
      <c r="B58" s="1"/>
    </row>
    <row r="59" spans="1:9" ht="12.75">
      <c r="B59" s="1"/>
    </row>
    <row r="60" spans="1:9" ht="12.75">
      <c r="B60" s="1"/>
    </row>
    <row r="62" spans="1:9" ht="12.75">
      <c r="B62" s="1"/>
    </row>
    <row r="63" spans="1:9" ht="12.75">
      <c r="B63" s="1"/>
    </row>
    <row r="64" spans="1:9" ht="12.75">
      <c r="B64"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8"/>
  <sheetViews>
    <sheetView workbookViewId="0"/>
  </sheetViews>
  <sheetFormatPr defaultColWidth="14.42578125" defaultRowHeight="15.75" customHeight="1"/>
  <sheetData>
    <row r="1" spans="1:27" ht="15.75" customHeight="1">
      <c r="A1" s="1" t="s">
        <v>1</v>
      </c>
      <c r="B1" s="1" t="s">
        <v>553</v>
      </c>
      <c r="C1" s="1" t="s">
        <v>582</v>
      </c>
      <c r="D1" s="1" t="s">
        <v>583</v>
      </c>
      <c r="E1" s="1" t="s">
        <v>584</v>
      </c>
      <c r="F1" s="1" t="s">
        <v>97</v>
      </c>
      <c r="G1" s="1" t="s">
        <v>585</v>
      </c>
      <c r="H1" s="109" t="s">
        <v>586</v>
      </c>
      <c r="I1" s="110" t="s">
        <v>587</v>
      </c>
      <c r="J1" s="110" t="s">
        <v>588</v>
      </c>
      <c r="K1" s="110" t="s">
        <v>589</v>
      </c>
      <c r="L1" s="1" t="s">
        <v>590</v>
      </c>
      <c r="N1" s="1" t="s">
        <v>6</v>
      </c>
      <c r="O1" s="1" t="s">
        <v>7</v>
      </c>
      <c r="P1" s="1" t="s">
        <v>8</v>
      </c>
      <c r="Q1" s="1" t="s">
        <v>9</v>
      </c>
      <c r="R1" s="1" t="s">
        <v>10</v>
      </c>
      <c r="S1" s="103" t="s">
        <v>11</v>
      </c>
      <c r="T1" s="1" t="s">
        <v>13</v>
      </c>
      <c r="U1" s="103" t="s">
        <v>397</v>
      </c>
      <c r="V1" s="1" t="s">
        <v>6</v>
      </c>
      <c r="W1" s="1" t="s">
        <v>7</v>
      </c>
      <c r="X1" s="1" t="s">
        <v>8</v>
      </c>
      <c r="Y1" s="1" t="s">
        <v>9</v>
      </c>
      <c r="Z1" s="1" t="s">
        <v>10</v>
      </c>
      <c r="AA1" s="103" t="s">
        <v>11</v>
      </c>
    </row>
    <row r="2" spans="1:27" ht="15.75" customHeight="1">
      <c r="U2" s="1">
        <v>340</v>
      </c>
    </row>
    <row r="3" spans="1:27" ht="15.75" customHeight="1">
      <c r="A3" s="1" t="s">
        <v>17</v>
      </c>
      <c r="B3" s="1" t="s">
        <v>511</v>
      </c>
      <c r="C3" s="1" t="s">
        <v>591</v>
      </c>
      <c r="D3" s="1">
        <v>4</v>
      </c>
      <c r="E3" s="1">
        <v>4.12</v>
      </c>
      <c r="F3" s="1">
        <v>1</v>
      </c>
      <c r="G3" s="1">
        <v>60</v>
      </c>
      <c r="H3" s="111">
        <v>10</v>
      </c>
      <c r="I3" s="112">
        <v>120</v>
      </c>
      <c r="J3" s="112">
        <v>10</v>
      </c>
      <c r="K3" s="112">
        <v>50</v>
      </c>
      <c r="L3" s="1">
        <v>2</v>
      </c>
      <c r="N3" s="1">
        <v>12582</v>
      </c>
      <c r="P3" s="1">
        <v>358</v>
      </c>
      <c r="Q3" s="1">
        <v>925</v>
      </c>
      <c r="R3" s="1">
        <v>148</v>
      </c>
      <c r="S3">
        <f t="shared" ref="S3:S20" si="0">$U$2/P3*Q3</f>
        <v>878.49162011173189</v>
      </c>
      <c r="T3">
        <f>AVERAGE(S3:S5)</f>
        <v>874.19949635133298</v>
      </c>
      <c r="V3" s="1">
        <v>13785</v>
      </c>
      <c r="W3" s="1"/>
      <c r="X3" s="1">
        <v>409</v>
      </c>
      <c r="Y3" s="1">
        <v>139</v>
      </c>
      <c r="Z3" s="1">
        <v>284</v>
      </c>
      <c r="AA3" s="1">
        <f t="shared" ref="AA3:AA20" si="1">$U$2/X3*Y3</f>
        <v>115.55012224938876</v>
      </c>
    </row>
    <row r="4" spans="1:27" ht="15.75" customHeight="1">
      <c r="A4" s="1" t="s">
        <v>18</v>
      </c>
      <c r="B4" s="1" t="s">
        <v>511</v>
      </c>
      <c r="C4" s="1" t="s">
        <v>591</v>
      </c>
      <c r="D4" s="1">
        <v>4</v>
      </c>
      <c r="E4" s="1">
        <v>4.12</v>
      </c>
      <c r="F4" s="1">
        <v>1</v>
      </c>
      <c r="G4" s="1">
        <v>60</v>
      </c>
      <c r="H4" s="111">
        <v>10</v>
      </c>
      <c r="I4" s="112">
        <v>120</v>
      </c>
      <c r="J4" s="112">
        <v>10</v>
      </c>
      <c r="K4" s="112">
        <v>50</v>
      </c>
      <c r="L4" s="1">
        <v>2</v>
      </c>
      <c r="N4" s="1">
        <v>13439</v>
      </c>
      <c r="P4" s="1">
        <v>339</v>
      </c>
      <c r="Q4" s="1">
        <v>937</v>
      </c>
      <c r="R4" s="1">
        <v>126</v>
      </c>
      <c r="S4">
        <f t="shared" si="0"/>
        <v>939.76401179941001</v>
      </c>
      <c r="V4" s="1">
        <v>14053</v>
      </c>
      <c r="X4" s="1">
        <v>389</v>
      </c>
      <c r="Y4" s="1">
        <v>248</v>
      </c>
      <c r="Z4" s="1">
        <v>357</v>
      </c>
      <c r="AA4" s="1">
        <f t="shared" si="1"/>
        <v>216.76092544987145</v>
      </c>
    </row>
    <row r="5" spans="1:27" ht="15.75" customHeight="1">
      <c r="A5" s="1" t="s">
        <v>19</v>
      </c>
      <c r="B5" s="1" t="s">
        <v>511</v>
      </c>
      <c r="C5" s="1" t="s">
        <v>591</v>
      </c>
      <c r="D5" s="1">
        <v>4</v>
      </c>
      <c r="E5" s="1">
        <v>4.12</v>
      </c>
      <c r="F5" s="1">
        <v>1</v>
      </c>
      <c r="G5" s="1">
        <v>60</v>
      </c>
      <c r="H5" s="111">
        <v>10</v>
      </c>
      <c r="I5" s="112">
        <v>120</v>
      </c>
      <c r="J5" s="112">
        <v>10</v>
      </c>
      <c r="K5" s="112">
        <v>50</v>
      </c>
      <c r="L5" s="1">
        <v>2</v>
      </c>
      <c r="N5" s="1">
        <v>13242</v>
      </c>
      <c r="P5" s="1">
        <v>350</v>
      </c>
      <c r="Q5" s="1">
        <v>828</v>
      </c>
      <c r="R5" s="1">
        <v>166</v>
      </c>
      <c r="S5">
        <f t="shared" si="0"/>
        <v>804.34285714285716</v>
      </c>
      <c r="V5" s="1">
        <v>13709</v>
      </c>
      <c r="X5" s="1">
        <v>475</v>
      </c>
      <c r="Y5" s="1">
        <v>58</v>
      </c>
      <c r="Z5" s="1">
        <v>398</v>
      </c>
      <c r="AA5" s="1">
        <f t="shared" si="1"/>
        <v>41.515789473684208</v>
      </c>
    </row>
    <row r="6" spans="1:27" ht="15.75" customHeight="1">
      <c r="A6" s="1" t="s">
        <v>20</v>
      </c>
      <c r="B6" s="1" t="s">
        <v>513</v>
      </c>
      <c r="C6" s="1" t="s">
        <v>591</v>
      </c>
      <c r="D6" s="1">
        <v>4</v>
      </c>
      <c r="E6" s="1">
        <v>4.12</v>
      </c>
      <c r="F6" s="1">
        <v>2</v>
      </c>
      <c r="G6" s="1">
        <v>60</v>
      </c>
      <c r="H6" s="111">
        <v>10</v>
      </c>
      <c r="I6" s="112">
        <v>120</v>
      </c>
      <c r="J6" s="112">
        <v>10</v>
      </c>
      <c r="K6" s="112">
        <v>50</v>
      </c>
      <c r="L6" s="1">
        <v>2</v>
      </c>
      <c r="N6" s="1">
        <v>12396</v>
      </c>
      <c r="P6" s="1">
        <v>318</v>
      </c>
      <c r="Q6" s="1">
        <v>1109</v>
      </c>
      <c r="R6" s="1">
        <v>68</v>
      </c>
      <c r="S6">
        <f t="shared" si="0"/>
        <v>1185.7232704402516</v>
      </c>
      <c r="T6">
        <f>AVERAGE(S6:S8)</f>
        <v>1197.0177788277813</v>
      </c>
      <c r="V6" s="1">
        <v>12903</v>
      </c>
      <c r="X6" s="1">
        <v>340</v>
      </c>
      <c r="Y6" s="1">
        <v>622</v>
      </c>
      <c r="Z6" s="1">
        <v>228</v>
      </c>
      <c r="AA6" s="1">
        <f t="shared" si="1"/>
        <v>622</v>
      </c>
    </row>
    <row r="7" spans="1:27" ht="15.75" customHeight="1">
      <c r="A7" s="1" t="s">
        <v>21</v>
      </c>
      <c r="B7" s="1" t="s">
        <v>513</v>
      </c>
      <c r="C7" s="1" t="s">
        <v>591</v>
      </c>
      <c r="D7" s="1">
        <v>4</v>
      </c>
      <c r="E7" s="1">
        <v>4.12</v>
      </c>
      <c r="F7" s="1">
        <v>2</v>
      </c>
      <c r="G7" s="1">
        <v>60</v>
      </c>
      <c r="H7" s="111">
        <v>10</v>
      </c>
      <c r="I7" s="112">
        <v>120</v>
      </c>
      <c r="J7" s="112">
        <v>10</v>
      </c>
      <c r="K7" s="112">
        <v>50</v>
      </c>
      <c r="L7" s="1">
        <v>2</v>
      </c>
      <c r="N7" s="1">
        <v>12356</v>
      </c>
      <c r="P7" s="1">
        <v>327</v>
      </c>
      <c r="Q7" s="1">
        <v>1212</v>
      </c>
      <c r="R7" s="1">
        <v>45</v>
      </c>
      <c r="S7">
        <f t="shared" si="0"/>
        <v>1260.1834862385319</v>
      </c>
      <c r="V7" s="1">
        <v>12556</v>
      </c>
      <c r="X7" s="1">
        <v>348</v>
      </c>
      <c r="Y7" s="1">
        <v>866</v>
      </c>
      <c r="Z7" s="1">
        <v>165</v>
      </c>
      <c r="AA7" s="1">
        <f t="shared" si="1"/>
        <v>846.09195402298849</v>
      </c>
    </row>
    <row r="8" spans="1:27" ht="15.75" customHeight="1">
      <c r="A8" s="1" t="s">
        <v>22</v>
      </c>
      <c r="B8" s="1" t="s">
        <v>513</v>
      </c>
      <c r="C8" s="1" t="s">
        <v>591</v>
      </c>
      <c r="D8" s="1">
        <v>4</v>
      </c>
      <c r="E8" s="1">
        <v>4.12</v>
      </c>
      <c r="F8" s="1">
        <v>2</v>
      </c>
      <c r="G8" s="1">
        <v>60</v>
      </c>
      <c r="H8" s="111">
        <v>10</v>
      </c>
      <c r="I8" s="112">
        <v>120</v>
      </c>
      <c r="J8" s="112">
        <v>10</v>
      </c>
      <c r="K8" s="112">
        <v>50</v>
      </c>
      <c r="L8" s="1">
        <v>2</v>
      </c>
      <c r="N8" s="1">
        <v>12072</v>
      </c>
      <c r="P8" s="1">
        <v>307</v>
      </c>
      <c r="Q8" s="1">
        <v>1034</v>
      </c>
      <c r="R8" s="1">
        <v>82</v>
      </c>
      <c r="S8">
        <f t="shared" si="0"/>
        <v>1145.1465798045604</v>
      </c>
      <c r="V8" s="1">
        <v>12949</v>
      </c>
      <c r="X8" s="1">
        <v>339</v>
      </c>
      <c r="Y8" s="1">
        <v>378</v>
      </c>
      <c r="Z8" s="1">
        <v>297</v>
      </c>
      <c r="AA8" s="1">
        <f t="shared" si="1"/>
        <v>379.11504424778758</v>
      </c>
    </row>
    <row r="9" spans="1:27" ht="15.75" customHeight="1">
      <c r="A9" s="1" t="s">
        <v>23</v>
      </c>
      <c r="B9" s="1" t="s">
        <v>515</v>
      </c>
      <c r="C9" s="1" t="s">
        <v>591</v>
      </c>
      <c r="D9" s="1">
        <v>4</v>
      </c>
      <c r="E9" s="1">
        <v>4.12</v>
      </c>
      <c r="F9" s="1">
        <v>3</v>
      </c>
      <c r="G9" s="1">
        <v>60</v>
      </c>
      <c r="H9" s="111">
        <v>10</v>
      </c>
      <c r="I9" s="112">
        <v>120</v>
      </c>
      <c r="J9" s="112">
        <v>10</v>
      </c>
      <c r="K9" s="112">
        <v>50</v>
      </c>
      <c r="L9" s="1">
        <v>2</v>
      </c>
      <c r="N9" s="1">
        <v>12594</v>
      </c>
      <c r="P9" s="1">
        <v>330</v>
      </c>
      <c r="Q9" s="1">
        <v>927</v>
      </c>
      <c r="R9" s="1">
        <v>116</v>
      </c>
      <c r="S9">
        <f t="shared" si="0"/>
        <v>955.09090909090912</v>
      </c>
      <c r="T9">
        <f>AVERAGE(S9:S11)</f>
        <v>896.86071238702823</v>
      </c>
      <c r="V9" s="1">
        <v>12887</v>
      </c>
      <c r="X9" s="1">
        <v>401</v>
      </c>
      <c r="Y9" s="1">
        <v>433</v>
      </c>
      <c r="Z9" s="1">
        <v>265</v>
      </c>
      <c r="AA9" s="1">
        <f t="shared" si="1"/>
        <v>367.13216957605988</v>
      </c>
    </row>
    <row r="10" spans="1:27" ht="15.75" customHeight="1">
      <c r="A10" s="1" t="s">
        <v>24</v>
      </c>
      <c r="B10" s="1" t="s">
        <v>515</v>
      </c>
      <c r="C10" s="1" t="s">
        <v>591</v>
      </c>
      <c r="D10" s="1">
        <v>4</v>
      </c>
      <c r="E10" s="1">
        <v>4.12</v>
      </c>
      <c r="F10" s="1">
        <v>3</v>
      </c>
      <c r="G10" s="1">
        <v>60</v>
      </c>
      <c r="H10" s="111">
        <v>10</v>
      </c>
      <c r="I10" s="112">
        <v>120</v>
      </c>
      <c r="J10" s="112">
        <v>10</v>
      </c>
      <c r="K10" s="112">
        <v>50</v>
      </c>
      <c r="L10" s="1">
        <v>2</v>
      </c>
      <c r="N10" s="1">
        <v>11943</v>
      </c>
      <c r="P10" s="1">
        <v>380</v>
      </c>
      <c r="Q10" s="1">
        <v>901</v>
      </c>
      <c r="R10" s="1">
        <v>117</v>
      </c>
      <c r="S10">
        <f t="shared" si="0"/>
        <v>806.15789473684208</v>
      </c>
      <c r="V10" s="1">
        <v>12170</v>
      </c>
      <c r="X10" s="1">
        <v>541</v>
      </c>
      <c r="Y10" s="1">
        <v>227</v>
      </c>
      <c r="Z10" s="1">
        <v>303</v>
      </c>
      <c r="AA10" s="1">
        <f t="shared" si="1"/>
        <v>142.66173752310536</v>
      </c>
    </row>
    <row r="11" spans="1:27" ht="15.75" customHeight="1">
      <c r="A11" s="1" t="s">
        <v>25</v>
      </c>
      <c r="B11" s="1" t="s">
        <v>515</v>
      </c>
      <c r="C11" s="1" t="s">
        <v>591</v>
      </c>
      <c r="D11" s="1">
        <v>4</v>
      </c>
      <c r="E11" s="1">
        <v>4.12</v>
      </c>
      <c r="F11" s="1">
        <v>3</v>
      </c>
      <c r="G11" s="1">
        <v>60</v>
      </c>
      <c r="H11" s="111">
        <v>10</v>
      </c>
      <c r="I11" s="112">
        <v>120</v>
      </c>
      <c r="J11" s="112">
        <v>10</v>
      </c>
      <c r="K11" s="112">
        <v>50</v>
      </c>
      <c r="L11" s="1">
        <v>2</v>
      </c>
      <c r="N11" s="1">
        <v>12086</v>
      </c>
      <c r="P11" s="1">
        <v>315</v>
      </c>
      <c r="Q11" s="1">
        <v>861</v>
      </c>
      <c r="R11" s="1">
        <v>122</v>
      </c>
      <c r="S11">
        <f t="shared" si="0"/>
        <v>929.33333333333326</v>
      </c>
      <c r="V11" s="1">
        <v>12583</v>
      </c>
      <c r="X11" s="1">
        <v>415</v>
      </c>
      <c r="Y11" s="1">
        <v>177</v>
      </c>
      <c r="Z11" s="1">
        <v>332</v>
      </c>
      <c r="AA11" s="1">
        <f t="shared" si="1"/>
        <v>145.01204819277109</v>
      </c>
    </row>
    <row r="12" spans="1:27" ht="15.75" customHeight="1">
      <c r="A12" s="1" t="s">
        <v>26</v>
      </c>
      <c r="B12" s="1" t="s">
        <v>266</v>
      </c>
      <c r="C12" s="1" t="s">
        <v>591</v>
      </c>
      <c r="D12" s="1">
        <v>4</v>
      </c>
      <c r="E12" s="1">
        <v>4.12</v>
      </c>
      <c r="F12" s="1">
        <v>4</v>
      </c>
      <c r="G12" s="1">
        <v>60</v>
      </c>
      <c r="H12" s="111">
        <v>10</v>
      </c>
      <c r="I12" s="112">
        <v>120</v>
      </c>
      <c r="J12" s="112">
        <v>10</v>
      </c>
      <c r="K12" s="112">
        <v>50</v>
      </c>
      <c r="L12" s="1">
        <v>2</v>
      </c>
      <c r="N12" s="1">
        <v>11951</v>
      </c>
      <c r="P12" s="1">
        <v>299</v>
      </c>
      <c r="Q12" s="1">
        <v>976</v>
      </c>
      <c r="R12" s="1">
        <v>79</v>
      </c>
      <c r="S12">
        <f t="shared" si="0"/>
        <v>1109.8327759197323</v>
      </c>
      <c r="T12">
        <f>AVERAGE(S12:S14)</f>
        <v>1092.6512120319201</v>
      </c>
      <c r="V12" s="1">
        <v>12826</v>
      </c>
      <c r="X12" s="1">
        <v>356</v>
      </c>
      <c r="Y12" s="1">
        <v>368</v>
      </c>
      <c r="Z12" s="1">
        <v>271</v>
      </c>
      <c r="AA12" s="1">
        <f t="shared" si="1"/>
        <v>351.46067415730334</v>
      </c>
    </row>
    <row r="13" spans="1:27" ht="15.75" customHeight="1">
      <c r="A13" s="1" t="s">
        <v>27</v>
      </c>
      <c r="B13" s="1" t="s">
        <v>266</v>
      </c>
      <c r="C13" s="1" t="s">
        <v>591</v>
      </c>
      <c r="D13" s="1">
        <v>4</v>
      </c>
      <c r="E13" s="1">
        <v>4.12</v>
      </c>
      <c r="F13" s="1">
        <v>4</v>
      </c>
      <c r="G13" s="1">
        <v>60</v>
      </c>
      <c r="H13" s="111">
        <v>10</v>
      </c>
      <c r="I13" s="112">
        <v>120</v>
      </c>
      <c r="J13" s="112">
        <v>10</v>
      </c>
      <c r="K13" s="112">
        <v>50</v>
      </c>
      <c r="L13" s="1">
        <v>2</v>
      </c>
      <c r="N13" s="1">
        <v>12033</v>
      </c>
      <c r="P13" s="1">
        <v>321</v>
      </c>
      <c r="Q13" s="1">
        <v>978</v>
      </c>
      <c r="R13" s="1">
        <v>75</v>
      </c>
      <c r="S13">
        <f t="shared" si="0"/>
        <v>1035.8878504672896</v>
      </c>
      <c r="V13" s="1">
        <v>12325</v>
      </c>
      <c r="X13" s="1">
        <v>503</v>
      </c>
      <c r="Y13" s="1">
        <v>121</v>
      </c>
      <c r="Z13" s="1">
        <v>347</v>
      </c>
      <c r="AA13" s="1">
        <f t="shared" si="1"/>
        <v>81.789264413518879</v>
      </c>
    </row>
    <row r="14" spans="1:27" ht="15.75" customHeight="1">
      <c r="A14" s="1" t="s">
        <v>28</v>
      </c>
      <c r="B14" s="1" t="s">
        <v>266</v>
      </c>
      <c r="C14" s="1" t="s">
        <v>591</v>
      </c>
      <c r="D14" s="1">
        <v>4</v>
      </c>
      <c r="E14" s="1">
        <v>4.12</v>
      </c>
      <c r="F14" s="1">
        <v>4</v>
      </c>
      <c r="G14" s="1">
        <v>60</v>
      </c>
      <c r="H14" s="1">
        <v>10</v>
      </c>
      <c r="I14" s="1">
        <v>120</v>
      </c>
      <c r="J14" s="1">
        <v>10</v>
      </c>
      <c r="K14" s="1">
        <v>50</v>
      </c>
      <c r="L14" s="1">
        <v>2</v>
      </c>
      <c r="N14" s="1">
        <v>11597</v>
      </c>
      <c r="P14" s="1">
        <v>309</v>
      </c>
      <c r="Q14" s="1">
        <v>1029</v>
      </c>
      <c r="R14" s="1">
        <v>66</v>
      </c>
      <c r="S14">
        <f t="shared" si="0"/>
        <v>1132.2330097087379</v>
      </c>
      <c r="V14" s="1">
        <v>12125</v>
      </c>
      <c r="X14" s="1">
        <v>327</v>
      </c>
      <c r="Y14" s="1">
        <v>622</v>
      </c>
      <c r="Z14" s="1">
        <v>169</v>
      </c>
      <c r="AA14" s="1">
        <f t="shared" si="1"/>
        <v>646.72782874617735</v>
      </c>
    </row>
    <row r="15" spans="1:27" ht="15.75" customHeight="1">
      <c r="A15" s="1" t="s">
        <v>29</v>
      </c>
      <c r="B15" s="1" t="s">
        <v>513</v>
      </c>
      <c r="C15" s="1" t="s">
        <v>591</v>
      </c>
      <c r="D15" s="1">
        <v>4</v>
      </c>
      <c r="E15" s="1">
        <v>4.12</v>
      </c>
      <c r="F15" s="1">
        <v>2</v>
      </c>
      <c r="G15" s="1">
        <v>0</v>
      </c>
      <c r="H15" s="1">
        <v>10</v>
      </c>
      <c r="I15" s="1">
        <v>120</v>
      </c>
      <c r="J15" s="1">
        <v>10</v>
      </c>
      <c r="K15" s="1">
        <v>50</v>
      </c>
      <c r="L15" s="1">
        <v>10</v>
      </c>
      <c r="N15" s="1">
        <v>11455</v>
      </c>
      <c r="P15" s="1">
        <v>320</v>
      </c>
      <c r="Q15" s="1">
        <v>1277</v>
      </c>
      <c r="R15" s="1">
        <v>13</v>
      </c>
      <c r="S15">
        <f t="shared" si="0"/>
        <v>1356.8125</v>
      </c>
      <c r="T15">
        <f>AVERAGE(S15:S17)</f>
        <v>1379.1479115926556</v>
      </c>
      <c r="V15" s="1">
        <v>11043</v>
      </c>
      <c r="X15" s="1">
        <v>312</v>
      </c>
      <c r="Y15" s="1">
        <v>1191</v>
      </c>
      <c r="Z15" s="1">
        <v>22</v>
      </c>
      <c r="AA15" s="1">
        <f t="shared" si="1"/>
        <v>1297.8846153846152</v>
      </c>
    </row>
    <row r="16" spans="1:27" ht="15.75" customHeight="1">
      <c r="A16" s="1" t="s">
        <v>30</v>
      </c>
      <c r="B16" s="1" t="s">
        <v>513</v>
      </c>
      <c r="C16" s="1" t="s">
        <v>591</v>
      </c>
      <c r="D16" s="1">
        <v>4</v>
      </c>
      <c r="E16" s="1">
        <v>4.12</v>
      </c>
      <c r="F16" s="1">
        <v>2</v>
      </c>
      <c r="G16" s="1">
        <v>0</v>
      </c>
      <c r="H16" s="1">
        <v>10</v>
      </c>
      <c r="I16" s="1">
        <v>120</v>
      </c>
      <c r="J16" s="1">
        <v>10</v>
      </c>
      <c r="K16" s="1">
        <v>50</v>
      </c>
      <c r="L16" s="1">
        <v>10</v>
      </c>
      <c r="N16" s="1">
        <v>11519</v>
      </c>
      <c r="P16" s="1">
        <v>291</v>
      </c>
      <c r="Q16" s="1">
        <v>1198</v>
      </c>
      <c r="R16" s="1">
        <v>16</v>
      </c>
      <c r="S16">
        <f t="shared" si="0"/>
        <v>1399.725085910653</v>
      </c>
      <c r="V16" s="1">
        <v>11267</v>
      </c>
      <c r="X16" s="1">
        <v>286</v>
      </c>
      <c r="Y16" s="1">
        <v>1159</v>
      </c>
      <c r="Z16" s="1">
        <v>19.600000000000001</v>
      </c>
      <c r="AA16" s="1">
        <f t="shared" si="1"/>
        <v>1377.8321678321677</v>
      </c>
    </row>
    <row r="17" spans="1:27" ht="15.75" customHeight="1">
      <c r="A17" s="1" t="s">
        <v>31</v>
      </c>
      <c r="B17" s="1" t="s">
        <v>513</v>
      </c>
      <c r="C17" s="1" t="s">
        <v>591</v>
      </c>
      <c r="D17" s="1">
        <v>4</v>
      </c>
      <c r="E17" s="1">
        <v>4.12</v>
      </c>
      <c r="F17" s="1">
        <v>2</v>
      </c>
      <c r="G17" s="1">
        <v>0</v>
      </c>
      <c r="H17" s="1">
        <v>10</v>
      </c>
      <c r="I17" s="1">
        <v>120</v>
      </c>
      <c r="J17" s="1">
        <v>10</v>
      </c>
      <c r="K17" s="1">
        <v>50</v>
      </c>
      <c r="L17" s="1">
        <v>10</v>
      </c>
      <c r="N17" s="1">
        <v>11535</v>
      </c>
      <c r="P17" s="1">
        <v>309</v>
      </c>
      <c r="Q17" s="1">
        <v>1255</v>
      </c>
      <c r="R17" s="1">
        <v>13</v>
      </c>
      <c r="S17">
        <f t="shared" si="0"/>
        <v>1380.906148867314</v>
      </c>
      <c r="V17" s="1">
        <v>11242</v>
      </c>
      <c r="X17" s="1">
        <v>308</v>
      </c>
      <c r="Y17" s="1">
        <v>1210</v>
      </c>
      <c r="Z17" s="1">
        <v>22</v>
      </c>
      <c r="AA17" s="1">
        <f t="shared" si="1"/>
        <v>1335.7142857142858</v>
      </c>
    </row>
    <row r="18" spans="1:27" ht="15.75" customHeight="1">
      <c r="A18" s="1" t="s">
        <v>32</v>
      </c>
      <c r="B18" s="1" t="s">
        <v>511</v>
      </c>
      <c r="C18" s="1" t="s">
        <v>591</v>
      </c>
      <c r="D18" s="1">
        <v>4</v>
      </c>
      <c r="E18" s="1">
        <v>4.12</v>
      </c>
      <c r="F18" s="1">
        <v>1</v>
      </c>
      <c r="G18" s="1">
        <v>60</v>
      </c>
      <c r="H18" s="1">
        <v>10</v>
      </c>
      <c r="I18" s="1">
        <v>120</v>
      </c>
      <c r="J18" s="1">
        <v>10</v>
      </c>
      <c r="K18" s="1">
        <v>50</v>
      </c>
      <c r="L18" s="1">
        <v>10</v>
      </c>
      <c r="N18" s="1">
        <v>12362</v>
      </c>
      <c r="P18" s="1">
        <v>320</v>
      </c>
      <c r="Q18" s="1">
        <v>906</v>
      </c>
      <c r="R18" s="1">
        <v>125</v>
      </c>
      <c r="S18">
        <f t="shared" si="0"/>
        <v>962.625</v>
      </c>
      <c r="T18">
        <f>AVERAGE(S18:S20)</f>
        <v>981.8181439049273</v>
      </c>
      <c r="V18" s="1">
        <v>13240</v>
      </c>
      <c r="X18" s="1">
        <v>382</v>
      </c>
      <c r="Y18" s="1">
        <v>308</v>
      </c>
      <c r="Z18" s="1">
        <v>308</v>
      </c>
      <c r="AA18" s="1">
        <f t="shared" si="1"/>
        <v>274.13612565445027</v>
      </c>
    </row>
    <row r="19" spans="1:27" ht="15.75" customHeight="1">
      <c r="A19" s="1" t="s">
        <v>34</v>
      </c>
      <c r="B19" s="1" t="s">
        <v>511</v>
      </c>
      <c r="C19" s="1" t="s">
        <v>591</v>
      </c>
      <c r="D19" s="1">
        <v>4</v>
      </c>
      <c r="E19" s="1">
        <v>4.12</v>
      </c>
      <c r="F19" s="1">
        <v>1</v>
      </c>
      <c r="G19" s="1">
        <v>60</v>
      </c>
      <c r="H19" s="1">
        <v>10</v>
      </c>
      <c r="I19" s="1">
        <v>120</v>
      </c>
      <c r="J19" s="1">
        <v>10</v>
      </c>
      <c r="K19" s="1">
        <v>50</v>
      </c>
      <c r="L19" s="1">
        <v>10</v>
      </c>
      <c r="N19" s="1">
        <v>12177</v>
      </c>
      <c r="P19" s="1">
        <v>314</v>
      </c>
      <c r="Q19" s="1">
        <v>931</v>
      </c>
      <c r="R19" s="1">
        <v>97</v>
      </c>
      <c r="S19">
        <f t="shared" si="0"/>
        <v>1008.0891719745223</v>
      </c>
      <c r="V19" s="1">
        <v>13003</v>
      </c>
      <c r="X19" s="1">
        <v>409</v>
      </c>
      <c r="Y19" s="1">
        <v>239</v>
      </c>
      <c r="Z19" s="1">
        <v>342</v>
      </c>
      <c r="AA19" s="1">
        <f t="shared" si="1"/>
        <v>198.67970660146702</v>
      </c>
    </row>
    <row r="20" spans="1:27" ht="15.75" customHeight="1">
      <c r="A20" s="1" t="s">
        <v>36</v>
      </c>
      <c r="B20" s="1" t="s">
        <v>511</v>
      </c>
      <c r="C20" s="1" t="s">
        <v>591</v>
      </c>
      <c r="D20" s="1">
        <v>4</v>
      </c>
      <c r="E20" s="1">
        <v>4.12</v>
      </c>
      <c r="F20" s="1">
        <v>1</v>
      </c>
      <c r="G20" s="1">
        <v>60</v>
      </c>
      <c r="H20" s="1">
        <v>10</v>
      </c>
      <c r="I20" s="1">
        <v>120</v>
      </c>
      <c r="J20" s="1">
        <v>10</v>
      </c>
      <c r="K20" s="1">
        <v>50</v>
      </c>
      <c r="L20" s="1">
        <v>10</v>
      </c>
      <c r="N20" s="1">
        <v>12156</v>
      </c>
      <c r="P20" s="1">
        <v>308</v>
      </c>
      <c r="Q20" s="1">
        <v>883</v>
      </c>
      <c r="R20" s="1">
        <v>121</v>
      </c>
      <c r="S20">
        <f t="shared" si="0"/>
        <v>974.74025974025972</v>
      </c>
      <c r="V20" s="1">
        <v>13404</v>
      </c>
      <c r="X20" s="1">
        <v>367</v>
      </c>
      <c r="Y20" s="1">
        <v>201</v>
      </c>
      <c r="Z20" s="1">
        <v>330</v>
      </c>
      <c r="AA20" s="1">
        <f t="shared" si="1"/>
        <v>186.21253405994551</v>
      </c>
    </row>
    <row r="21" spans="1:27" ht="15.75" customHeight="1">
      <c r="N21" s="1" t="s">
        <v>592</v>
      </c>
      <c r="V21" s="1" t="s">
        <v>593</v>
      </c>
    </row>
    <row r="22" spans="1:27" ht="15.75" customHeight="1">
      <c r="F22" s="1" t="s">
        <v>44</v>
      </c>
      <c r="G22" s="1">
        <v>0.5</v>
      </c>
    </row>
    <row r="23" spans="1:27" ht="15.75" customHeight="1">
      <c r="F23" s="1" t="s">
        <v>45</v>
      </c>
      <c r="G23" s="1" t="s">
        <v>46</v>
      </c>
      <c r="H23" s="1" t="s">
        <v>47</v>
      </c>
    </row>
    <row r="24" spans="1:27" ht="15.75" customHeight="1">
      <c r="A24" s="1"/>
      <c r="E24" s="1" t="s">
        <v>511</v>
      </c>
      <c r="F24" s="1" t="s">
        <v>49</v>
      </c>
      <c r="G24" s="1" t="s">
        <v>50</v>
      </c>
      <c r="H24" s="1" t="s">
        <v>594</v>
      </c>
    </row>
    <row r="25" spans="1:27" ht="15.75" customHeight="1">
      <c r="A25" s="1"/>
      <c r="F25" s="1" t="s">
        <v>52</v>
      </c>
      <c r="G25" s="1">
        <v>500</v>
      </c>
      <c r="H25">
        <f>G25/$G$22-G25</f>
        <v>500</v>
      </c>
    </row>
    <row r="26" spans="1:27" ht="15.75" customHeight="1">
      <c r="A26" s="1"/>
      <c r="E26" s="1" t="s">
        <v>513</v>
      </c>
      <c r="F26" s="1" t="s">
        <v>99</v>
      </c>
      <c r="G26" s="1" t="s">
        <v>50</v>
      </c>
      <c r="H26" s="1" t="s">
        <v>595</v>
      </c>
    </row>
    <row r="27" spans="1:27" ht="15.75" customHeight="1">
      <c r="F27" s="1" t="s">
        <v>52</v>
      </c>
      <c r="G27" s="1">
        <v>400</v>
      </c>
      <c r="H27">
        <f>G27/$G$22-G27</f>
        <v>400</v>
      </c>
    </row>
    <row r="28" spans="1:27" ht="15.75" customHeight="1">
      <c r="E28" s="1" t="s">
        <v>515</v>
      </c>
      <c r="F28" s="1" t="s">
        <v>101</v>
      </c>
      <c r="G28" s="1" t="s">
        <v>596</v>
      </c>
      <c r="H28" s="1" t="s">
        <v>594</v>
      </c>
    </row>
    <row r="29" spans="1:27" ht="15.75" customHeight="1">
      <c r="F29" s="1" t="s">
        <v>52</v>
      </c>
      <c r="G29" s="1">
        <v>250</v>
      </c>
      <c r="H29">
        <f>G29/$G$22-G29</f>
        <v>250</v>
      </c>
    </row>
    <row r="30" spans="1:27" ht="15.75" customHeight="1">
      <c r="E30" s="1" t="s">
        <v>266</v>
      </c>
      <c r="F30" s="1" t="s">
        <v>103</v>
      </c>
      <c r="G30" s="1" t="s">
        <v>596</v>
      </c>
      <c r="H30" s="1" t="s">
        <v>595</v>
      </c>
    </row>
    <row r="31" spans="1:27" ht="15.75" customHeight="1">
      <c r="A31" s="1" t="s">
        <v>597</v>
      </c>
      <c r="F31" s="1" t="s">
        <v>52</v>
      </c>
      <c r="G31" s="1">
        <v>250</v>
      </c>
      <c r="H31">
        <f>G31/$G$22-G31</f>
        <v>250</v>
      </c>
    </row>
    <row r="32" spans="1:27" ht="15.75" customHeight="1">
      <c r="A32" s="1" t="s">
        <v>598</v>
      </c>
    </row>
    <row r="33" spans="1:1" ht="15.75" customHeight="1">
      <c r="A33" s="1" t="s">
        <v>599</v>
      </c>
    </row>
    <row r="34" spans="1:1" ht="15.75" customHeight="1">
      <c r="A34" s="1" t="s">
        <v>600</v>
      </c>
    </row>
    <row r="35" spans="1:1" ht="15.75" customHeight="1">
      <c r="A35" s="1" t="s">
        <v>601</v>
      </c>
    </row>
    <row r="36" spans="1:1" ht="15.75" customHeight="1">
      <c r="A36" s="1" t="s">
        <v>602</v>
      </c>
    </row>
    <row r="37" spans="1:1" ht="15.75" customHeight="1">
      <c r="A37" s="1" t="s">
        <v>603</v>
      </c>
    </row>
    <row r="38" spans="1:1" ht="15.75" customHeight="1">
      <c r="A38" s="1" t="s">
        <v>604</v>
      </c>
    </row>
    <row r="39" spans="1:1" ht="12.75">
      <c r="A39" s="1" t="s">
        <v>605</v>
      </c>
    </row>
    <row r="40" spans="1:1" ht="12.75">
      <c r="A40" s="1" t="s">
        <v>606</v>
      </c>
    </row>
    <row r="41" spans="1:1" ht="12.75">
      <c r="A41" s="1" t="s">
        <v>607</v>
      </c>
    </row>
    <row r="42" spans="1:1" ht="12.75">
      <c r="A42" s="1" t="s">
        <v>608</v>
      </c>
    </row>
    <row r="44" spans="1:1" ht="12.75">
      <c r="A44" s="1" t="s">
        <v>609</v>
      </c>
    </row>
    <row r="45" spans="1:1" ht="12.75">
      <c r="A45" s="1" t="s">
        <v>610</v>
      </c>
    </row>
    <row r="46" spans="1:1" ht="12.75">
      <c r="A46" s="1" t="s">
        <v>611</v>
      </c>
    </row>
    <row r="47" spans="1:1" ht="12.75">
      <c r="A47" s="1" t="s">
        <v>612</v>
      </c>
    </row>
    <row r="48" spans="1:1" ht="12.75">
      <c r="A48" s="1" t="s">
        <v>613</v>
      </c>
    </row>
    <row r="49" spans="1:1" ht="12.75">
      <c r="A49" s="1" t="s">
        <v>541</v>
      </c>
    </row>
    <row r="50" spans="1:1" ht="12.75">
      <c r="A50" s="1" t="s">
        <v>614</v>
      </c>
    </row>
    <row r="51" spans="1:1" ht="12.75">
      <c r="A51" s="1"/>
    </row>
    <row r="52" spans="1:1" ht="12.75">
      <c r="A52" s="1" t="s">
        <v>615</v>
      </c>
    </row>
    <row r="53" spans="1:1" ht="12.75">
      <c r="A53" s="1" t="s">
        <v>616</v>
      </c>
    </row>
    <row r="54" spans="1:1" ht="12.75">
      <c r="A54" s="1" t="s">
        <v>617</v>
      </c>
    </row>
    <row r="56" spans="1:1" ht="12.75">
      <c r="A56" s="1" t="s">
        <v>618</v>
      </c>
    </row>
    <row r="57" spans="1:1" ht="12.75">
      <c r="A57" s="1" t="s">
        <v>619</v>
      </c>
    </row>
    <row r="58" spans="1:1" ht="12.75">
      <c r="A58" s="1" t="s">
        <v>620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2"/>
  <sheetViews>
    <sheetView workbookViewId="0"/>
  </sheetViews>
  <sheetFormatPr defaultColWidth="14.42578125" defaultRowHeight="15.75" customHeight="1"/>
  <cols>
    <col min="3" max="3" width="15.42578125" customWidth="1"/>
    <col min="4" max="4" width="17.42578125" customWidth="1"/>
  </cols>
  <sheetData>
    <row r="1" spans="1:26" ht="15.75" customHeight="1">
      <c r="A1" s="1" t="s">
        <v>1</v>
      </c>
      <c r="B1" s="1" t="s">
        <v>582</v>
      </c>
      <c r="C1" s="1" t="s">
        <v>583</v>
      </c>
      <c r="D1" s="1" t="s">
        <v>584</v>
      </c>
      <c r="E1" s="1" t="s">
        <v>97</v>
      </c>
      <c r="F1" s="1" t="s">
        <v>585</v>
      </c>
      <c r="G1" s="109" t="s">
        <v>586</v>
      </c>
      <c r="H1" s="110" t="s">
        <v>587</v>
      </c>
      <c r="I1" s="110" t="s">
        <v>588</v>
      </c>
      <c r="J1" s="110" t="s">
        <v>589</v>
      </c>
      <c r="L1" s="1" t="s">
        <v>6</v>
      </c>
      <c r="M1" s="1" t="s">
        <v>7</v>
      </c>
      <c r="N1" s="1" t="s">
        <v>8</v>
      </c>
      <c r="O1" s="1" t="s">
        <v>9</v>
      </c>
      <c r="P1" s="1" t="s">
        <v>10</v>
      </c>
      <c r="Q1" s="103" t="s">
        <v>11</v>
      </c>
      <c r="R1" s="103" t="s">
        <v>397</v>
      </c>
      <c r="T1" s="1" t="s">
        <v>6</v>
      </c>
      <c r="U1" s="1" t="s">
        <v>7</v>
      </c>
      <c r="V1" s="1" t="s">
        <v>8</v>
      </c>
      <c r="W1" s="1" t="s">
        <v>9</v>
      </c>
      <c r="X1" s="1" t="s">
        <v>10</v>
      </c>
      <c r="Y1" s="103" t="s">
        <v>11</v>
      </c>
      <c r="Z1" s="103" t="s">
        <v>397</v>
      </c>
    </row>
    <row r="2" spans="1:26" ht="15.75" customHeight="1">
      <c r="R2" s="1">
        <v>340</v>
      </c>
      <c r="Z2" s="1">
        <v>340</v>
      </c>
    </row>
    <row r="3" spans="1:26" ht="15.75" customHeight="1">
      <c r="A3" s="1" t="s">
        <v>17</v>
      </c>
      <c r="B3" s="1" t="s">
        <v>621</v>
      </c>
      <c r="C3" s="1">
        <v>4</v>
      </c>
      <c r="D3" s="1">
        <v>4.12</v>
      </c>
      <c r="E3" s="1">
        <v>1</v>
      </c>
      <c r="F3" s="1">
        <v>0</v>
      </c>
      <c r="G3" s="111">
        <v>10</v>
      </c>
      <c r="H3" s="112">
        <v>120</v>
      </c>
      <c r="I3" s="112">
        <v>10</v>
      </c>
      <c r="J3" s="112">
        <v>50</v>
      </c>
      <c r="K3" s="8" t="s">
        <v>17</v>
      </c>
      <c r="L3" s="1">
        <v>12220</v>
      </c>
      <c r="N3" s="1">
        <v>346</v>
      </c>
      <c r="O3" s="1">
        <v>1275</v>
      </c>
      <c r="P3" s="1">
        <v>5.2</v>
      </c>
      <c r="Q3">
        <f t="shared" ref="Q3:Q13" si="0">$R$2/N3*O3</f>
        <v>1252.8901734104045</v>
      </c>
      <c r="S3" s="8" t="s">
        <v>17</v>
      </c>
      <c r="T3" s="1">
        <v>12837</v>
      </c>
      <c r="V3" s="1">
        <v>353</v>
      </c>
      <c r="W3" s="1">
        <v>1431</v>
      </c>
      <c r="X3" s="1">
        <v>0</v>
      </c>
      <c r="Y3">
        <f>$Z$2/V3*W3</f>
        <v>1378.3002832861191</v>
      </c>
    </row>
    <row r="4" spans="1:26" ht="15.75" customHeight="1">
      <c r="A4" s="1" t="s">
        <v>18</v>
      </c>
      <c r="B4" s="1" t="s">
        <v>621</v>
      </c>
      <c r="C4" s="1">
        <v>4</v>
      </c>
      <c r="D4" s="1">
        <v>4.12</v>
      </c>
      <c r="E4" s="1">
        <v>1</v>
      </c>
      <c r="F4" s="1">
        <v>0</v>
      </c>
      <c r="G4" s="111">
        <v>10</v>
      </c>
      <c r="H4" s="112">
        <v>120</v>
      </c>
      <c r="I4" s="112">
        <v>10</v>
      </c>
      <c r="J4" s="112">
        <v>50</v>
      </c>
      <c r="K4" s="8" t="s">
        <v>18</v>
      </c>
      <c r="L4" s="1">
        <v>12186</v>
      </c>
      <c r="N4" s="1">
        <v>311</v>
      </c>
      <c r="O4" s="1">
        <v>1289</v>
      </c>
      <c r="P4" s="1">
        <v>0</v>
      </c>
      <c r="Q4">
        <f t="shared" si="0"/>
        <v>1409.1961414790997</v>
      </c>
      <c r="S4" s="113"/>
    </row>
    <row r="5" spans="1:26" ht="15.75" customHeight="1">
      <c r="A5" s="1" t="s">
        <v>19</v>
      </c>
      <c r="B5" s="1" t="s">
        <v>621</v>
      </c>
      <c r="C5" s="1">
        <v>4</v>
      </c>
      <c r="D5" s="1">
        <v>4.12</v>
      </c>
      <c r="E5" s="1">
        <v>1</v>
      </c>
      <c r="F5" s="1">
        <v>0</v>
      </c>
      <c r="G5" s="111">
        <v>10</v>
      </c>
      <c r="H5" s="112">
        <v>120</v>
      </c>
      <c r="I5" s="112">
        <v>10</v>
      </c>
      <c r="J5" s="112">
        <v>50</v>
      </c>
      <c r="K5" s="8" t="s">
        <v>19</v>
      </c>
      <c r="L5" s="1">
        <v>11938</v>
      </c>
      <c r="N5" s="1">
        <v>333</v>
      </c>
      <c r="O5" s="1">
        <v>1349</v>
      </c>
      <c r="P5" s="1">
        <v>0</v>
      </c>
      <c r="Q5">
        <f t="shared" si="0"/>
        <v>1377.3573573573574</v>
      </c>
      <c r="S5" s="113"/>
    </row>
    <row r="6" spans="1:26" ht="15.75" customHeight="1">
      <c r="A6" s="1" t="s">
        <v>20</v>
      </c>
      <c r="B6" s="1" t="s">
        <v>591</v>
      </c>
      <c r="C6" s="1">
        <v>4</v>
      </c>
      <c r="D6" s="1">
        <v>4.12</v>
      </c>
      <c r="E6" s="1">
        <v>1</v>
      </c>
      <c r="F6" s="1">
        <v>0</v>
      </c>
      <c r="G6" s="111">
        <v>10</v>
      </c>
      <c r="H6" s="112">
        <v>120</v>
      </c>
      <c r="I6" s="112">
        <v>10</v>
      </c>
      <c r="J6" s="112">
        <v>50</v>
      </c>
      <c r="K6" s="8" t="s">
        <v>20</v>
      </c>
      <c r="L6" s="1">
        <v>11896</v>
      </c>
      <c r="N6" s="1">
        <v>322</v>
      </c>
      <c r="O6" s="1">
        <v>1317</v>
      </c>
      <c r="P6" s="1">
        <v>0</v>
      </c>
      <c r="Q6">
        <f t="shared" si="0"/>
        <v>1390.6211180124224</v>
      </c>
      <c r="S6" s="113"/>
    </row>
    <row r="7" spans="1:26" ht="15.75" customHeight="1">
      <c r="A7" s="1" t="s">
        <v>21</v>
      </c>
      <c r="B7" s="1" t="s">
        <v>591</v>
      </c>
      <c r="C7" s="1">
        <v>4</v>
      </c>
      <c r="D7" s="1">
        <v>4.12</v>
      </c>
      <c r="E7" s="1">
        <v>1</v>
      </c>
      <c r="F7" s="1">
        <v>0</v>
      </c>
      <c r="G7" s="111">
        <v>10</v>
      </c>
      <c r="H7" s="112">
        <v>120</v>
      </c>
      <c r="I7" s="112">
        <v>10</v>
      </c>
      <c r="J7" s="112">
        <v>50</v>
      </c>
      <c r="K7" s="8" t="s">
        <v>21</v>
      </c>
      <c r="L7" s="1">
        <v>11880</v>
      </c>
      <c r="N7" s="1">
        <v>320</v>
      </c>
      <c r="O7" s="1">
        <v>1328</v>
      </c>
      <c r="P7" s="1">
        <v>0</v>
      </c>
      <c r="Q7">
        <f t="shared" si="0"/>
        <v>1411</v>
      </c>
      <c r="S7" s="113"/>
    </row>
    <row r="8" spans="1:26" ht="15.75" customHeight="1">
      <c r="A8" s="1" t="s">
        <v>22</v>
      </c>
      <c r="B8" s="1" t="s">
        <v>621</v>
      </c>
      <c r="C8" s="1">
        <v>4</v>
      </c>
      <c r="D8" s="1">
        <v>4.12</v>
      </c>
      <c r="E8" s="1">
        <v>1</v>
      </c>
      <c r="F8" s="1">
        <v>60</v>
      </c>
      <c r="G8" s="111">
        <v>10</v>
      </c>
      <c r="H8" s="112">
        <v>120</v>
      </c>
      <c r="I8" s="112">
        <v>10</v>
      </c>
      <c r="J8" s="112">
        <v>50</v>
      </c>
      <c r="K8" s="8" t="s">
        <v>22</v>
      </c>
      <c r="L8" s="1">
        <v>11831</v>
      </c>
      <c r="N8" s="1">
        <v>320</v>
      </c>
      <c r="O8" s="1">
        <v>1312</v>
      </c>
      <c r="P8" s="1">
        <v>0</v>
      </c>
      <c r="Q8">
        <f t="shared" si="0"/>
        <v>1394</v>
      </c>
      <c r="S8" s="113"/>
    </row>
    <row r="9" spans="1:26" ht="15.75" customHeight="1">
      <c r="A9" s="1" t="s">
        <v>23</v>
      </c>
      <c r="B9" s="1" t="s">
        <v>621</v>
      </c>
      <c r="C9" s="1">
        <v>4</v>
      </c>
      <c r="D9" s="1">
        <v>4.12</v>
      </c>
      <c r="E9" s="1">
        <v>1</v>
      </c>
      <c r="F9" s="1">
        <v>60</v>
      </c>
      <c r="G9" s="111">
        <v>10</v>
      </c>
      <c r="H9" s="112">
        <v>120</v>
      </c>
      <c r="I9" s="112">
        <v>10</v>
      </c>
      <c r="J9" s="112">
        <v>50</v>
      </c>
      <c r="K9" s="8" t="s">
        <v>23</v>
      </c>
      <c r="L9" s="1">
        <v>11698</v>
      </c>
      <c r="N9" s="1">
        <v>326</v>
      </c>
      <c r="O9" s="1">
        <v>1300</v>
      </c>
      <c r="P9" s="1">
        <v>0</v>
      </c>
      <c r="Q9">
        <f t="shared" si="0"/>
        <v>1355.8282208588957</v>
      </c>
      <c r="S9" s="113"/>
    </row>
    <row r="10" spans="1:26" ht="15.75" customHeight="1">
      <c r="A10" s="1" t="s">
        <v>24</v>
      </c>
      <c r="B10" s="1" t="s">
        <v>621</v>
      </c>
      <c r="C10" s="1">
        <v>4</v>
      </c>
      <c r="D10" s="1">
        <v>4.12</v>
      </c>
      <c r="E10" s="1">
        <v>1</v>
      </c>
      <c r="F10" s="1">
        <v>60</v>
      </c>
      <c r="G10" s="111">
        <v>10</v>
      </c>
      <c r="H10" s="112">
        <v>120</v>
      </c>
      <c r="I10" s="112">
        <v>10</v>
      </c>
      <c r="J10" s="112">
        <v>50</v>
      </c>
      <c r="K10" s="8" t="s">
        <v>24</v>
      </c>
      <c r="L10" s="1">
        <v>11443</v>
      </c>
      <c r="N10" s="1">
        <v>365</v>
      </c>
      <c r="O10" s="1">
        <v>1284</v>
      </c>
      <c r="P10" s="1">
        <v>10.3</v>
      </c>
      <c r="Q10">
        <f t="shared" si="0"/>
        <v>1196.0547945205478</v>
      </c>
      <c r="S10" s="8" t="s">
        <v>24</v>
      </c>
      <c r="T10" s="1">
        <v>12522</v>
      </c>
      <c r="V10" s="1">
        <v>355</v>
      </c>
      <c r="W10" s="1">
        <v>1371</v>
      </c>
      <c r="X10" s="1">
        <v>16.7</v>
      </c>
      <c r="Y10">
        <f>$Z$2/V10*W10</f>
        <v>1313.0704225352113</v>
      </c>
    </row>
    <row r="11" spans="1:26" ht="15.75" customHeight="1">
      <c r="A11" s="1" t="s">
        <v>622</v>
      </c>
      <c r="B11" s="1" t="s">
        <v>591</v>
      </c>
      <c r="C11" s="1">
        <v>4</v>
      </c>
      <c r="D11" s="1">
        <v>4.12</v>
      </c>
      <c r="E11" s="1">
        <v>1</v>
      </c>
      <c r="F11" s="1">
        <v>60</v>
      </c>
      <c r="G11" s="111">
        <v>10</v>
      </c>
      <c r="H11" s="112">
        <v>120</v>
      </c>
      <c r="I11" s="112">
        <v>10</v>
      </c>
      <c r="J11" s="112">
        <v>50</v>
      </c>
      <c r="K11" s="8" t="s">
        <v>25</v>
      </c>
      <c r="L11" s="1">
        <v>11286</v>
      </c>
      <c r="N11" s="1">
        <v>314</v>
      </c>
      <c r="O11" s="1">
        <v>1194</v>
      </c>
      <c r="P11" s="1">
        <v>0</v>
      </c>
      <c r="Q11">
        <f t="shared" si="0"/>
        <v>1292.8662420382166</v>
      </c>
      <c r="S11" s="113"/>
    </row>
    <row r="12" spans="1:26" ht="15.75" customHeight="1">
      <c r="A12" s="1" t="s">
        <v>26</v>
      </c>
      <c r="B12" s="1" t="s">
        <v>591</v>
      </c>
      <c r="C12" s="1">
        <v>4</v>
      </c>
      <c r="D12" s="1">
        <v>4.12</v>
      </c>
      <c r="E12" s="1">
        <v>1</v>
      </c>
      <c r="F12" s="1">
        <v>60</v>
      </c>
      <c r="G12" s="111">
        <v>10</v>
      </c>
      <c r="H12" s="112">
        <v>120</v>
      </c>
      <c r="I12" s="112">
        <v>10</v>
      </c>
      <c r="J12" s="112">
        <v>50</v>
      </c>
      <c r="K12" s="8" t="s">
        <v>26</v>
      </c>
      <c r="L12" s="1">
        <v>11534</v>
      </c>
      <c r="N12" s="1">
        <v>320</v>
      </c>
      <c r="O12" s="1">
        <v>1256</v>
      </c>
      <c r="P12" s="1">
        <v>9.3000000000000007</v>
      </c>
      <c r="Q12">
        <f t="shared" si="0"/>
        <v>1334.5</v>
      </c>
      <c r="S12" s="8" t="s">
        <v>26</v>
      </c>
      <c r="T12" s="1">
        <v>12160</v>
      </c>
      <c r="V12" s="1">
        <v>340</v>
      </c>
      <c r="W12" s="1">
        <v>1296</v>
      </c>
      <c r="X12" s="1">
        <v>0</v>
      </c>
      <c r="Y12">
        <f>$Z$2/V12*W12</f>
        <v>1296</v>
      </c>
    </row>
    <row r="13" spans="1:26" ht="15.75" customHeight="1">
      <c r="A13" s="1" t="s">
        <v>27</v>
      </c>
      <c r="B13" s="1" t="s">
        <v>591</v>
      </c>
      <c r="C13" s="1">
        <v>4</v>
      </c>
      <c r="D13" s="1">
        <v>4.12</v>
      </c>
      <c r="E13" s="1">
        <v>1</v>
      </c>
      <c r="F13" s="1">
        <v>60</v>
      </c>
      <c r="G13" s="111">
        <v>10</v>
      </c>
      <c r="H13" s="112">
        <v>120</v>
      </c>
      <c r="I13" s="112">
        <v>10</v>
      </c>
      <c r="J13" s="112">
        <v>50</v>
      </c>
      <c r="K13" s="8" t="s">
        <v>27</v>
      </c>
      <c r="L13" s="1">
        <v>11382</v>
      </c>
      <c r="N13" s="1">
        <v>315</v>
      </c>
      <c r="O13" s="1">
        <v>1251</v>
      </c>
      <c r="P13" s="1">
        <v>0</v>
      </c>
      <c r="Q13">
        <f t="shared" si="0"/>
        <v>1350.2857142857142</v>
      </c>
      <c r="S13" s="113"/>
    </row>
    <row r="14" spans="1:26" ht="15.75" customHeight="1">
      <c r="A14" s="1"/>
      <c r="B14" s="1"/>
      <c r="C14" s="1"/>
      <c r="D14" s="1"/>
      <c r="E14" s="1"/>
      <c r="F14" s="1"/>
      <c r="G14" s="111"/>
      <c r="H14" s="112"/>
      <c r="I14" s="112"/>
      <c r="J14" s="112"/>
      <c r="L14" s="1" t="s">
        <v>623</v>
      </c>
      <c r="Q14">
        <f>AVERAGE(Q3:Q12)</f>
        <v>1341.4314047676944</v>
      </c>
      <c r="T14" s="1" t="s">
        <v>624</v>
      </c>
    </row>
    <row r="15" spans="1:26" ht="15.75" customHeight="1">
      <c r="A15" s="1" t="s">
        <v>625</v>
      </c>
      <c r="B15" s="1"/>
      <c r="C15" s="1"/>
      <c r="D15" s="1"/>
      <c r="E15" s="1"/>
      <c r="F15" s="1"/>
      <c r="G15" s="111"/>
      <c r="H15" s="112"/>
      <c r="I15" s="112"/>
      <c r="J15" s="112"/>
    </row>
    <row r="16" spans="1:26" ht="15.75" customHeight="1">
      <c r="A16" s="1" t="s">
        <v>626</v>
      </c>
      <c r="B16" s="1"/>
      <c r="C16" s="1"/>
      <c r="D16" s="1"/>
      <c r="E16" s="1"/>
      <c r="F16" s="1"/>
      <c r="G16" s="111"/>
      <c r="H16" s="112"/>
      <c r="I16" s="112"/>
      <c r="J16" s="112"/>
    </row>
    <row r="17" spans="1:10" ht="15.75" customHeight="1">
      <c r="A17" s="1" t="s">
        <v>627</v>
      </c>
      <c r="B17" s="1"/>
      <c r="C17" s="1"/>
      <c r="D17" s="1"/>
      <c r="E17" s="1"/>
      <c r="F17" s="1"/>
      <c r="G17" s="111"/>
      <c r="H17" s="112"/>
      <c r="I17" s="112"/>
      <c r="J17" s="112"/>
    </row>
    <row r="18" spans="1:10" ht="15.75" customHeight="1">
      <c r="A18" s="1" t="s">
        <v>628</v>
      </c>
      <c r="B18" s="1"/>
      <c r="C18" s="1"/>
      <c r="D18" s="1"/>
      <c r="E18" s="1"/>
      <c r="F18" s="1"/>
      <c r="G18" s="111"/>
      <c r="H18" s="112"/>
      <c r="I18" s="112"/>
      <c r="J18" s="112"/>
    </row>
    <row r="19" spans="1:10" ht="15.75" customHeight="1">
      <c r="A19" s="1" t="s">
        <v>629</v>
      </c>
      <c r="B19" s="1"/>
      <c r="C19" s="1"/>
      <c r="D19" s="1"/>
      <c r="E19" s="1"/>
      <c r="F19" s="1"/>
      <c r="G19" s="112"/>
      <c r="H19" s="112"/>
      <c r="I19" s="112"/>
      <c r="J19" s="112"/>
    </row>
    <row r="20" spans="1:10" ht="15.75" customHeight="1">
      <c r="A20" s="1" t="s">
        <v>630</v>
      </c>
      <c r="B20" s="1"/>
      <c r="C20" s="1"/>
      <c r="D20" s="1"/>
      <c r="E20" s="1"/>
      <c r="F20" s="1"/>
      <c r="G20" s="1"/>
      <c r="H20" s="112"/>
      <c r="J20" s="112"/>
    </row>
    <row r="21" spans="1:10" ht="15.75" customHeight="1">
      <c r="A21" s="1" t="s">
        <v>631</v>
      </c>
    </row>
    <row r="22" spans="1:10" ht="15.75" customHeight="1">
      <c r="A22" s="1" t="s">
        <v>632</v>
      </c>
      <c r="G22" s="112"/>
      <c r="H22" s="112"/>
    </row>
    <row r="23" spans="1:10" ht="15.75" customHeight="1">
      <c r="A23" s="1" t="s">
        <v>633</v>
      </c>
    </row>
    <row r="24" spans="1:10" ht="15.75" customHeight="1">
      <c r="A24" s="1" t="s">
        <v>634</v>
      </c>
    </row>
    <row r="25" spans="1:10" ht="15.75" customHeight="1">
      <c r="A25" s="1" t="s">
        <v>635</v>
      </c>
    </row>
    <row r="26" spans="1:10" ht="15.75" customHeight="1">
      <c r="A26" s="1" t="s">
        <v>636</v>
      </c>
    </row>
    <row r="27" spans="1:10" ht="15.75" customHeight="1">
      <c r="A27" s="1" t="s">
        <v>637</v>
      </c>
    </row>
    <row r="28" spans="1:10" ht="15.75" customHeight="1">
      <c r="A28" s="1" t="s">
        <v>638</v>
      </c>
    </row>
    <row r="30" spans="1:10" ht="15.75" customHeight="1">
      <c r="A30" s="1" t="s">
        <v>639</v>
      </c>
    </row>
    <row r="31" spans="1:10" ht="15.75" customHeight="1">
      <c r="A31" s="1" t="s">
        <v>640</v>
      </c>
    </row>
    <row r="32" spans="1:10" ht="15.75" customHeight="1">
      <c r="A32" s="109" t="s">
        <v>641</v>
      </c>
    </row>
    <row r="33" spans="1:1" ht="15.75" customHeight="1">
      <c r="A33" s="1" t="s">
        <v>642</v>
      </c>
    </row>
    <row r="34" spans="1:1" ht="15.75" customHeight="1">
      <c r="A34" s="1" t="s">
        <v>643</v>
      </c>
    </row>
    <row r="35" spans="1:1" ht="15.75" customHeight="1">
      <c r="A35" s="1" t="s">
        <v>644</v>
      </c>
    </row>
    <row r="36" spans="1:1" ht="15.75" customHeight="1">
      <c r="A36" s="1" t="s">
        <v>541</v>
      </c>
    </row>
    <row r="37" spans="1:1" ht="15.75" customHeight="1">
      <c r="A37" s="1" t="s">
        <v>645</v>
      </c>
    </row>
    <row r="38" spans="1:1" ht="15.75" customHeight="1">
      <c r="A38" s="1" t="s">
        <v>646</v>
      </c>
    </row>
    <row r="39" spans="1:1" ht="12.75">
      <c r="A39" s="1" t="s">
        <v>647</v>
      </c>
    </row>
    <row r="41" spans="1:1" ht="12.75">
      <c r="A41" s="1" t="s">
        <v>648</v>
      </c>
    </row>
    <row r="42" spans="1:1" ht="12.75">
      <c r="A42" s="1" t="s">
        <v>649</v>
      </c>
    </row>
    <row r="44" spans="1:1" ht="12.75">
      <c r="A44" s="1" t="s">
        <v>650</v>
      </c>
    </row>
    <row r="45" spans="1:1" ht="12.75">
      <c r="A45" s="1" t="s">
        <v>651</v>
      </c>
    </row>
    <row r="46" spans="1:1" ht="12.75">
      <c r="A46" s="1" t="s">
        <v>652</v>
      </c>
    </row>
    <row r="48" spans="1:1" ht="12.75">
      <c r="A48" s="1" t="s">
        <v>653</v>
      </c>
    </row>
    <row r="49" spans="1:1" ht="12.75">
      <c r="A49" s="1" t="s">
        <v>654</v>
      </c>
    </row>
    <row r="50" spans="1:1" ht="12.75">
      <c r="A50" s="1" t="s">
        <v>655</v>
      </c>
    </row>
    <row r="51" spans="1:1" ht="12.75">
      <c r="A51" s="1" t="s">
        <v>656</v>
      </c>
    </row>
    <row r="52" spans="1:1" ht="12.75">
      <c r="A52" s="1" t="s">
        <v>657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0"/>
  <sheetViews>
    <sheetView workbookViewId="0"/>
  </sheetViews>
  <sheetFormatPr defaultColWidth="14.42578125" defaultRowHeight="15.75" customHeight="1"/>
  <cols>
    <col min="7" max="7" width="18.42578125" customWidth="1"/>
    <col min="8" max="9" width="15.28515625" customWidth="1"/>
    <col min="10" max="10" width="48.42578125" customWidth="1"/>
  </cols>
  <sheetData>
    <row r="1" spans="1:30" ht="12.75">
      <c r="A1" s="114" t="s">
        <v>1</v>
      </c>
      <c r="B1" s="110" t="s">
        <v>658</v>
      </c>
      <c r="C1" s="114" t="s">
        <v>659</v>
      </c>
      <c r="D1" s="114" t="s">
        <v>660</v>
      </c>
      <c r="E1" s="114" t="s">
        <v>661</v>
      </c>
      <c r="F1" s="110" t="s">
        <v>662</v>
      </c>
      <c r="G1" s="114" t="s">
        <v>97</v>
      </c>
      <c r="H1" s="110" t="s">
        <v>582</v>
      </c>
      <c r="I1" s="110" t="s">
        <v>585</v>
      </c>
      <c r="J1" s="110" t="s">
        <v>663</v>
      </c>
      <c r="K1" s="114" t="s">
        <v>664</v>
      </c>
      <c r="L1" s="114" t="s">
        <v>665</v>
      </c>
      <c r="M1" s="114" t="s">
        <v>666</v>
      </c>
      <c r="N1" s="114" t="s">
        <v>667</v>
      </c>
      <c r="P1" s="1" t="s">
        <v>6</v>
      </c>
      <c r="Q1" s="1" t="s">
        <v>7</v>
      </c>
      <c r="R1" s="1" t="s">
        <v>8</v>
      </c>
      <c r="S1" s="1" t="s">
        <v>9</v>
      </c>
      <c r="T1" s="1" t="s">
        <v>10</v>
      </c>
      <c r="U1" s="103" t="s">
        <v>11</v>
      </c>
      <c r="V1" s="103" t="s">
        <v>397</v>
      </c>
      <c r="W1" s="1"/>
      <c r="X1" s="1"/>
      <c r="Y1" s="1"/>
      <c r="Z1" s="1"/>
      <c r="AA1" s="1"/>
      <c r="AB1" s="103"/>
      <c r="AC1" s="103"/>
      <c r="AD1" s="103"/>
    </row>
    <row r="2" spans="1:30" ht="12.75">
      <c r="A2" s="1"/>
      <c r="O2" s="1" t="s">
        <v>668</v>
      </c>
      <c r="V2" s="1">
        <v>340</v>
      </c>
      <c r="AC2" s="1"/>
      <c r="AD2" s="1"/>
    </row>
    <row r="3" spans="1:30" ht="12.75">
      <c r="A3" s="115" t="s">
        <v>17</v>
      </c>
      <c r="B3" s="115" t="s">
        <v>669</v>
      </c>
      <c r="C3" s="116" t="s">
        <v>591</v>
      </c>
      <c r="D3" s="116">
        <v>4</v>
      </c>
      <c r="E3" s="116">
        <v>4.12</v>
      </c>
      <c r="F3" s="116">
        <v>11</v>
      </c>
      <c r="G3" s="116">
        <v>1</v>
      </c>
      <c r="H3" s="116" t="s">
        <v>591</v>
      </c>
      <c r="I3" s="116">
        <v>0</v>
      </c>
      <c r="J3" s="117" t="s">
        <v>670</v>
      </c>
      <c r="K3" s="118">
        <v>10</v>
      </c>
      <c r="L3" s="116">
        <v>120</v>
      </c>
      <c r="M3" s="116">
        <v>10</v>
      </c>
      <c r="N3" s="112">
        <v>50</v>
      </c>
      <c r="O3" s="119" t="s">
        <v>671</v>
      </c>
      <c r="P3" s="119"/>
      <c r="Q3" s="119"/>
      <c r="R3" s="120"/>
      <c r="S3" s="120"/>
      <c r="T3" s="120"/>
      <c r="U3" s="119"/>
      <c r="V3" s="120"/>
      <c r="W3" s="121"/>
      <c r="X3" s="119"/>
      <c r="Y3" s="120"/>
      <c r="Z3" s="120"/>
      <c r="AA3" s="120"/>
      <c r="AB3" s="120"/>
      <c r="AC3" s="120"/>
      <c r="AD3" s="120"/>
    </row>
    <row r="4" spans="1:30" ht="12.75">
      <c r="A4" s="110" t="s">
        <v>18</v>
      </c>
      <c r="B4" s="110" t="s">
        <v>669</v>
      </c>
      <c r="C4" s="112" t="s">
        <v>591</v>
      </c>
      <c r="D4" s="112">
        <v>4</v>
      </c>
      <c r="E4" s="112">
        <v>4.12</v>
      </c>
      <c r="F4" s="112">
        <v>11</v>
      </c>
      <c r="G4" s="112">
        <v>1</v>
      </c>
      <c r="H4" s="112" t="s">
        <v>591</v>
      </c>
      <c r="I4" s="112">
        <v>0</v>
      </c>
      <c r="J4" s="122" t="s">
        <v>672</v>
      </c>
      <c r="K4" s="111">
        <v>10</v>
      </c>
      <c r="L4" s="112">
        <v>120</v>
      </c>
      <c r="M4" s="112">
        <v>10</v>
      </c>
      <c r="N4" s="112">
        <v>50</v>
      </c>
      <c r="P4" s="110">
        <v>12558.2</v>
      </c>
      <c r="Q4" s="1">
        <v>0</v>
      </c>
      <c r="R4" s="1">
        <v>342.8</v>
      </c>
      <c r="S4" s="1">
        <v>1272.2</v>
      </c>
      <c r="T4" s="1">
        <v>48.1</v>
      </c>
      <c r="U4">
        <f t="shared" ref="U4:U22" si="0">$V$2/R4*S4</f>
        <v>1261.8086347724623</v>
      </c>
    </row>
    <row r="5" spans="1:30" ht="12.75">
      <c r="A5" s="110" t="s">
        <v>19</v>
      </c>
      <c r="B5" s="110" t="s">
        <v>669</v>
      </c>
      <c r="C5" s="112" t="s">
        <v>621</v>
      </c>
      <c r="D5" s="112">
        <v>4</v>
      </c>
      <c r="E5" s="112">
        <v>4.12</v>
      </c>
      <c r="F5" s="112">
        <v>11</v>
      </c>
      <c r="G5" s="112">
        <v>1</v>
      </c>
      <c r="H5" s="112" t="s">
        <v>621</v>
      </c>
      <c r="I5" s="112">
        <v>0</v>
      </c>
      <c r="J5" s="122" t="s">
        <v>673</v>
      </c>
      <c r="K5" s="111">
        <v>10</v>
      </c>
      <c r="L5" s="112">
        <v>120</v>
      </c>
      <c r="M5" s="112">
        <v>10</v>
      </c>
      <c r="N5" s="112">
        <v>50</v>
      </c>
      <c r="P5" s="110">
        <v>12298.7</v>
      </c>
      <c r="Q5" s="1">
        <v>0</v>
      </c>
      <c r="R5" s="1">
        <v>347.9</v>
      </c>
      <c r="S5" s="1">
        <v>1265.0999999999999</v>
      </c>
      <c r="T5" s="1">
        <v>47.9</v>
      </c>
      <c r="U5">
        <f t="shared" si="0"/>
        <v>1236.3725208393216</v>
      </c>
    </row>
    <row r="6" spans="1:30" ht="12.75">
      <c r="A6" s="110" t="s">
        <v>20</v>
      </c>
      <c r="B6" s="110" t="s">
        <v>669</v>
      </c>
      <c r="C6" s="112" t="s">
        <v>621</v>
      </c>
      <c r="D6" s="112">
        <v>4</v>
      </c>
      <c r="E6" s="112">
        <v>4.12</v>
      </c>
      <c r="F6" s="112">
        <v>11</v>
      </c>
      <c r="G6" s="112">
        <v>1</v>
      </c>
      <c r="H6" s="112" t="s">
        <v>621</v>
      </c>
      <c r="I6" s="112">
        <v>0</v>
      </c>
      <c r="J6" s="122" t="s">
        <v>674</v>
      </c>
      <c r="K6" s="111">
        <v>10</v>
      </c>
      <c r="L6" s="112">
        <v>120</v>
      </c>
      <c r="M6" s="112">
        <v>10</v>
      </c>
      <c r="N6" s="112">
        <v>50</v>
      </c>
      <c r="P6" s="110">
        <v>12619.8</v>
      </c>
      <c r="Q6" s="1">
        <v>0</v>
      </c>
      <c r="R6" s="1">
        <v>348.3</v>
      </c>
      <c r="S6" s="1">
        <v>1191.5999999999999</v>
      </c>
      <c r="T6" s="1">
        <v>69.400000000000006</v>
      </c>
      <c r="U6">
        <f t="shared" si="0"/>
        <v>1163.204134366925</v>
      </c>
    </row>
    <row r="7" spans="1:30" ht="14.25">
      <c r="A7" s="110" t="s">
        <v>21</v>
      </c>
      <c r="B7" s="110" t="s">
        <v>675</v>
      </c>
      <c r="C7" s="112" t="s">
        <v>591</v>
      </c>
      <c r="D7" s="111">
        <v>4</v>
      </c>
      <c r="E7" s="112">
        <v>4.12</v>
      </c>
      <c r="F7" s="112">
        <v>11</v>
      </c>
      <c r="G7" s="112">
        <v>1</v>
      </c>
      <c r="H7" s="112" t="s">
        <v>591</v>
      </c>
      <c r="I7" s="112">
        <v>15</v>
      </c>
      <c r="J7" s="122" t="s">
        <v>673</v>
      </c>
      <c r="K7" s="111">
        <v>10</v>
      </c>
      <c r="L7" s="112">
        <v>120</v>
      </c>
      <c r="M7" s="112">
        <v>10</v>
      </c>
      <c r="N7" s="112">
        <v>50</v>
      </c>
      <c r="O7" s="110"/>
      <c r="P7" s="110">
        <v>11278.6</v>
      </c>
      <c r="Q7" s="123">
        <v>0</v>
      </c>
      <c r="R7" s="123">
        <v>789.6</v>
      </c>
      <c r="S7" s="1">
        <v>0</v>
      </c>
      <c r="T7" s="123">
        <v>351.9</v>
      </c>
      <c r="U7">
        <f t="shared" si="0"/>
        <v>0</v>
      </c>
      <c r="W7" s="1"/>
      <c r="X7" s="1"/>
      <c r="Y7" s="1"/>
      <c r="Z7" s="1"/>
      <c r="AA7" s="1"/>
      <c r="AB7" s="1"/>
    </row>
    <row r="8" spans="1:30" ht="14.25">
      <c r="A8" s="110" t="s">
        <v>22</v>
      </c>
      <c r="B8" s="110" t="s">
        <v>675</v>
      </c>
      <c r="C8" s="112" t="s">
        <v>591</v>
      </c>
      <c r="D8" s="111">
        <v>4</v>
      </c>
      <c r="E8" s="112">
        <v>4.12</v>
      </c>
      <c r="F8" s="112">
        <v>11</v>
      </c>
      <c r="G8" s="112">
        <v>1</v>
      </c>
      <c r="H8" s="112" t="s">
        <v>591</v>
      </c>
      <c r="I8" s="112">
        <v>15</v>
      </c>
      <c r="J8" s="122" t="s">
        <v>674</v>
      </c>
      <c r="K8" s="111">
        <v>10</v>
      </c>
      <c r="L8" s="112">
        <v>120</v>
      </c>
      <c r="M8" s="112">
        <v>10</v>
      </c>
      <c r="N8" s="112">
        <v>50</v>
      </c>
      <c r="O8" s="110"/>
      <c r="P8" s="110">
        <v>14301.9</v>
      </c>
      <c r="Q8" s="123">
        <v>0</v>
      </c>
      <c r="R8" s="123">
        <v>531.79999999999995</v>
      </c>
      <c r="S8" s="1">
        <v>0</v>
      </c>
      <c r="T8" s="123">
        <v>497.7</v>
      </c>
      <c r="U8">
        <f t="shared" si="0"/>
        <v>0</v>
      </c>
      <c r="W8" s="1"/>
      <c r="X8" s="1"/>
      <c r="Y8" s="1"/>
      <c r="Z8" s="1"/>
      <c r="AA8" s="1"/>
      <c r="AB8" s="1"/>
    </row>
    <row r="9" spans="1:30" ht="14.25">
      <c r="A9" s="110" t="s">
        <v>23</v>
      </c>
      <c r="B9" s="110" t="s">
        <v>675</v>
      </c>
      <c r="C9" s="112" t="s">
        <v>621</v>
      </c>
      <c r="D9" s="111">
        <v>4</v>
      </c>
      <c r="E9" s="112">
        <v>4.12</v>
      </c>
      <c r="F9" s="112">
        <v>11</v>
      </c>
      <c r="G9" s="112">
        <v>1</v>
      </c>
      <c r="H9" s="112" t="s">
        <v>621</v>
      </c>
      <c r="I9" s="112">
        <v>15</v>
      </c>
      <c r="J9" s="122" t="s">
        <v>676</v>
      </c>
      <c r="K9" s="111">
        <v>10</v>
      </c>
      <c r="L9" s="112">
        <v>120</v>
      </c>
      <c r="M9" s="112">
        <v>10</v>
      </c>
      <c r="N9" s="112">
        <v>50</v>
      </c>
      <c r="O9" s="110"/>
      <c r="P9" s="110">
        <v>13366.3</v>
      </c>
      <c r="Q9" s="1">
        <v>0</v>
      </c>
      <c r="R9" s="123">
        <v>593.29999999999995</v>
      </c>
      <c r="S9" s="1">
        <v>11.1</v>
      </c>
      <c r="T9" s="1">
        <v>512.29999999999995</v>
      </c>
      <c r="U9">
        <f t="shared" si="0"/>
        <v>6.3610315186246424</v>
      </c>
      <c r="W9" s="1"/>
      <c r="X9" s="1"/>
      <c r="Y9" s="1"/>
      <c r="Z9" s="1"/>
      <c r="AA9" s="1"/>
      <c r="AB9" s="1"/>
    </row>
    <row r="10" spans="1:30" ht="14.25">
      <c r="A10" s="110" t="s">
        <v>24</v>
      </c>
      <c r="B10" s="110" t="s">
        <v>675</v>
      </c>
      <c r="C10" s="112" t="s">
        <v>621</v>
      </c>
      <c r="D10" s="112">
        <v>4</v>
      </c>
      <c r="E10" s="112">
        <v>4.12</v>
      </c>
      <c r="F10" s="112">
        <v>11</v>
      </c>
      <c r="G10" s="112">
        <v>1</v>
      </c>
      <c r="H10" s="112" t="s">
        <v>621</v>
      </c>
      <c r="I10" s="112">
        <v>15</v>
      </c>
      <c r="J10" s="122" t="s">
        <v>677</v>
      </c>
      <c r="K10" s="111">
        <v>10</v>
      </c>
      <c r="L10" s="112">
        <v>120</v>
      </c>
      <c r="M10" s="112">
        <v>10</v>
      </c>
      <c r="N10" s="112">
        <v>50</v>
      </c>
      <c r="O10" s="110"/>
      <c r="P10" s="110">
        <v>12154.2</v>
      </c>
      <c r="Q10" s="1">
        <v>0</v>
      </c>
      <c r="R10" s="123">
        <v>670.3</v>
      </c>
      <c r="S10" s="1">
        <v>223.9</v>
      </c>
      <c r="T10" s="1">
        <v>379.7</v>
      </c>
      <c r="U10">
        <f t="shared" si="0"/>
        <v>113.57004326421006</v>
      </c>
      <c r="W10" s="1"/>
      <c r="X10" s="1"/>
      <c r="Y10" s="1"/>
      <c r="Z10" s="1"/>
      <c r="AA10" s="1"/>
      <c r="AB10" s="1"/>
    </row>
    <row r="11" spans="1:30" ht="14.25">
      <c r="A11" s="110" t="s">
        <v>25</v>
      </c>
      <c r="B11" s="110" t="s">
        <v>678</v>
      </c>
      <c r="C11" s="112" t="s">
        <v>591</v>
      </c>
      <c r="D11" s="112">
        <v>4</v>
      </c>
      <c r="E11" s="112">
        <v>4.12</v>
      </c>
      <c r="F11" s="112">
        <v>11</v>
      </c>
      <c r="G11" s="112">
        <v>1</v>
      </c>
      <c r="H11" s="112" t="s">
        <v>591</v>
      </c>
      <c r="I11" s="112">
        <v>30</v>
      </c>
      <c r="J11" s="122" t="s">
        <v>676</v>
      </c>
      <c r="K11" s="111">
        <v>10</v>
      </c>
      <c r="L11" s="112">
        <v>120</v>
      </c>
      <c r="M11" s="112">
        <v>10</v>
      </c>
      <c r="N11" s="112">
        <v>50</v>
      </c>
      <c r="O11" s="110"/>
      <c r="P11" s="110">
        <v>12750.5</v>
      </c>
      <c r="Q11" s="1">
        <v>0</v>
      </c>
      <c r="R11" s="123">
        <v>369.1</v>
      </c>
      <c r="S11" s="1">
        <v>381.5</v>
      </c>
      <c r="T11" s="1">
        <v>279.60000000000002</v>
      </c>
      <c r="U11">
        <f t="shared" si="0"/>
        <v>351.42237875914384</v>
      </c>
      <c r="W11" s="1"/>
      <c r="X11" s="1"/>
      <c r="Y11" s="1"/>
      <c r="Z11" s="1"/>
      <c r="AA11" s="1"/>
      <c r="AB11" s="1"/>
    </row>
    <row r="12" spans="1:30" ht="12.75">
      <c r="A12" s="110" t="s">
        <v>26</v>
      </c>
      <c r="B12" s="110" t="s">
        <v>678</v>
      </c>
      <c r="C12" s="112" t="s">
        <v>591</v>
      </c>
      <c r="D12" s="112">
        <v>4</v>
      </c>
      <c r="E12" s="112">
        <v>4.12</v>
      </c>
      <c r="F12" s="112">
        <v>11</v>
      </c>
      <c r="G12" s="112">
        <v>1</v>
      </c>
      <c r="H12" s="112" t="s">
        <v>591</v>
      </c>
      <c r="I12" s="112">
        <v>30</v>
      </c>
      <c r="J12" s="122" t="s">
        <v>677</v>
      </c>
      <c r="K12" s="111">
        <v>10</v>
      </c>
      <c r="L12" s="112">
        <v>120</v>
      </c>
      <c r="M12" s="112">
        <v>10</v>
      </c>
      <c r="N12" s="112">
        <v>50</v>
      </c>
      <c r="O12" s="110"/>
      <c r="P12" s="110">
        <v>12770.4</v>
      </c>
      <c r="Q12" s="1">
        <v>0</v>
      </c>
      <c r="R12" s="1">
        <v>461.2</v>
      </c>
      <c r="S12" s="1">
        <v>116.2</v>
      </c>
      <c r="T12" s="1">
        <v>328.3</v>
      </c>
      <c r="U12">
        <f t="shared" si="0"/>
        <v>85.663486556808337</v>
      </c>
      <c r="W12" s="1"/>
      <c r="X12" s="1"/>
      <c r="Y12" s="1"/>
      <c r="Z12" s="1"/>
      <c r="AA12" s="1"/>
      <c r="AB12" s="1"/>
    </row>
    <row r="13" spans="1:30" ht="14.25">
      <c r="A13" s="110" t="s">
        <v>27</v>
      </c>
      <c r="B13" s="1" t="s">
        <v>679</v>
      </c>
      <c r="C13" s="112" t="s">
        <v>621</v>
      </c>
      <c r="D13" s="111">
        <v>4</v>
      </c>
      <c r="E13" s="112">
        <v>4.12</v>
      </c>
      <c r="F13" s="112">
        <v>11</v>
      </c>
      <c r="G13" s="112">
        <v>1</v>
      </c>
      <c r="H13" s="112" t="s">
        <v>621</v>
      </c>
      <c r="I13" s="112">
        <v>30</v>
      </c>
      <c r="J13" s="122" t="s">
        <v>680</v>
      </c>
      <c r="K13" s="111">
        <v>10</v>
      </c>
      <c r="L13" s="112">
        <v>120</v>
      </c>
      <c r="M13" s="112">
        <v>10</v>
      </c>
      <c r="N13" s="112">
        <v>50</v>
      </c>
      <c r="O13" s="110"/>
      <c r="P13" s="110">
        <v>12795.4</v>
      </c>
      <c r="Q13" s="123">
        <v>0</v>
      </c>
      <c r="R13" s="123">
        <v>358.5</v>
      </c>
      <c r="S13" s="123">
        <v>715.3</v>
      </c>
      <c r="T13" s="123">
        <v>224.2</v>
      </c>
      <c r="U13">
        <f t="shared" si="0"/>
        <v>678.38772663877262</v>
      </c>
      <c r="W13" s="1"/>
      <c r="X13" s="1"/>
      <c r="Y13" s="1"/>
      <c r="Z13" s="1"/>
      <c r="AA13" s="1"/>
      <c r="AB13" s="1"/>
    </row>
    <row r="14" spans="1:30" ht="14.25">
      <c r="A14" s="110" t="s">
        <v>28</v>
      </c>
      <c r="B14" s="1" t="s">
        <v>679</v>
      </c>
      <c r="C14" s="112" t="s">
        <v>621</v>
      </c>
      <c r="D14" s="112">
        <v>4</v>
      </c>
      <c r="E14" s="112">
        <v>4.12</v>
      </c>
      <c r="F14" s="112">
        <v>11</v>
      </c>
      <c r="G14" s="112">
        <v>1</v>
      </c>
      <c r="H14" s="112" t="s">
        <v>621</v>
      </c>
      <c r="I14" s="112">
        <v>30</v>
      </c>
      <c r="J14" s="122" t="s">
        <v>681</v>
      </c>
      <c r="K14" s="111">
        <v>10</v>
      </c>
      <c r="L14" s="112">
        <v>120</v>
      </c>
      <c r="M14" s="112">
        <v>10</v>
      </c>
      <c r="N14" s="112">
        <v>50</v>
      </c>
      <c r="O14" s="110"/>
      <c r="P14" s="110">
        <v>12584.2</v>
      </c>
      <c r="Q14" s="1">
        <v>0</v>
      </c>
      <c r="R14" s="123">
        <v>610.9</v>
      </c>
      <c r="S14" s="1">
        <v>0</v>
      </c>
      <c r="T14" s="1">
        <v>508.7</v>
      </c>
      <c r="U14">
        <f t="shared" si="0"/>
        <v>0</v>
      </c>
      <c r="W14" s="1"/>
      <c r="X14" s="1"/>
      <c r="Y14" s="1"/>
      <c r="Z14" s="1"/>
      <c r="AA14" s="1"/>
      <c r="AB14" s="1"/>
    </row>
    <row r="15" spans="1:30" ht="15" customHeight="1">
      <c r="A15" s="110" t="s">
        <v>29</v>
      </c>
      <c r="B15" s="1" t="s">
        <v>682</v>
      </c>
      <c r="C15" s="112" t="s">
        <v>591</v>
      </c>
      <c r="D15" s="112">
        <v>4</v>
      </c>
      <c r="E15" s="112">
        <v>4.12</v>
      </c>
      <c r="F15" s="112">
        <v>11</v>
      </c>
      <c r="G15" s="112">
        <v>1</v>
      </c>
      <c r="H15" s="112" t="s">
        <v>591</v>
      </c>
      <c r="I15" s="112">
        <v>60</v>
      </c>
      <c r="J15" s="122" t="s">
        <v>680</v>
      </c>
      <c r="K15" s="111">
        <v>10</v>
      </c>
      <c r="L15" s="112">
        <v>120</v>
      </c>
      <c r="M15" s="112">
        <v>10</v>
      </c>
      <c r="N15" s="112">
        <v>50</v>
      </c>
      <c r="O15" s="110"/>
      <c r="P15" s="110">
        <v>13854.8</v>
      </c>
      <c r="Q15" s="1">
        <v>0</v>
      </c>
      <c r="R15" s="123">
        <v>414.1</v>
      </c>
      <c r="S15" s="1">
        <v>291.10000000000002</v>
      </c>
      <c r="T15" s="1">
        <v>427</v>
      </c>
      <c r="U15">
        <f t="shared" si="0"/>
        <v>239.00990099009903</v>
      </c>
      <c r="W15" s="1"/>
      <c r="X15" s="1"/>
      <c r="Y15" s="1"/>
      <c r="Z15" s="1"/>
      <c r="AA15" s="1"/>
      <c r="AB15" s="1"/>
    </row>
    <row r="16" spans="1:30" ht="14.25">
      <c r="A16" s="110" t="s">
        <v>30</v>
      </c>
      <c r="B16" s="1" t="s">
        <v>682</v>
      </c>
      <c r="C16" s="112" t="s">
        <v>591</v>
      </c>
      <c r="D16" s="112">
        <v>4</v>
      </c>
      <c r="E16" s="112">
        <v>4.12</v>
      </c>
      <c r="F16" s="112">
        <v>11</v>
      </c>
      <c r="G16" s="112">
        <v>1</v>
      </c>
      <c r="H16" s="112" t="s">
        <v>591</v>
      </c>
      <c r="I16" s="112">
        <v>60</v>
      </c>
      <c r="J16" s="122" t="s">
        <v>681</v>
      </c>
      <c r="K16" s="111">
        <v>10</v>
      </c>
      <c r="L16" s="112">
        <v>120</v>
      </c>
      <c r="M16" s="112">
        <v>10</v>
      </c>
      <c r="N16" s="112">
        <v>50</v>
      </c>
      <c r="O16" s="110"/>
      <c r="P16" s="110">
        <v>12324.6</v>
      </c>
      <c r="Q16" s="1">
        <v>0</v>
      </c>
      <c r="R16" s="123">
        <v>583.4</v>
      </c>
      <c r="S16" s="1">
        <v>6.3</v>
      </c>
      <c r="T16" s="1">
        <v>361.7</v>
      </c>
      <c r="U16">
        <f t="shared" si="0"/>
        <v>3.6715803908124789</v>
      </c>
      <c r="W16" s="1"/>
      <c r="X16" s="1"/>
      <c r="Y16" s="1"/>
      <c r="Z16" s="1"/>
      <c r="AA16" s="1"/>
      <c r="AB16" s="1"/>
    </row>
    <row r="17" spans="1:28" ht="14.25">
      <c r="A17" s="110" t="s">
        <v>31</v>
      </c>
      <c r="B17" s="1" t="s">
        <v>682</v>
      </c>
      <c r="C17" s="112" t="s">
        <v>621</v>
      </c>
      <c r="D17" s="111">
        <v>4</v>
      </c>
      <c r="E17" s="112">
        <v>4.12</v>
      </c>
      <c r="F17" s="112">
        <v>11</v>
      </c>
      <c r="G17" s="112">
        <v>1</v>
      </c>
      <c r="H17" s="112" t="s">
        <v>621</v>
      </c>
      <c r="I17" s="112">
        <v>60</v>
      </c>
      <c r="J17" s="122" t="s">
        <v>683</v>
      </c>
      <c r="K17" s="111">
        <v>10</v>
      </c>
      <c r="L17" s="112">
        <v>120</v>
      </c>
      <c r="M17" s="112">
        <v>10</v>
      </c>
      <c r="N17" s="112">
        <v>50</v>
      </c>
      <c r="O17" s="110"/>
      <c r="P17" s="110">
        <v>12315.3</v>
      </c>
      <c r="Q17" s="103">
        <v>0</v>
      </c>
      <c r="R17" s="123">
        <v>539.6</v>
      </c>
      <c r="S17" s="103">
        <v>427.6</v>
      </c>
      <c r="T17" s="103">
        <v>351.5</v>
      </c>
      <c r="U17">
        <f t="shared" si="0"/>
        <v>269.42920681986658</v>
      </c>
      <c r="W17" s="1"/>
      <c r="X17" s="1"/>
      <c r="Y17" s="1"/>
      <c r="Z17" s="1"/>
      <c r="AA17" s="1"/>
      <c r="AB17" s="1"/>
    </row>
    <row r="18" spans="1:28" ht="14.25">
      <c r="A18" s="110" t="s">
        <v>32</v>
      </c>
      <c r="B18" s="1" t="s">
        <v>682</v>
      </c>
      <c r="C18" s="112" t="s">
        <v>621</v>
      </c>
      <c r="D18" s="111">
        <v>4</v>
      </c>
      <c r="E18" s="112">
        <v>4.12</v>
      </c>
      <c r="F18" s="112">
        <v>11</v>
      </c>
      <c r="G18" s="112">
        <v>1</v>
      </c>
      <c r="H18" s="112" t="s">
        <v>621</v>
      </c>
      <c r="I18" s="112">
        <v>60</v>
      </c>
      <c r="J18" s="122" t="s">
        <v>684</v>
      </c>
      <c r="K18" s="111">
        <v>10</v>
      </c>
      <c r="L18" s="112">
        <v>120</v>
      </c>
      <c r="M18" s="112">
        <v>10</v>
      </c>
      <c r="N18" s="112">
        <v>50</v>
      </c>
      <c r="O18" s="110"/>
      <c r="P18" s="110">
        <v>13637.5</v>
      </c>
      <c r="Q18" s="103">
        <v>0</v>
      </c>
      <c r="R18" s="123">
        <v>525.4</v>
      </c>
      <c r="S18" s="1">
        <v>0</v>
      </c>
      <c r="T18" s="1">
        <v>524.1</v>
      </c>
      <c r="U18">
        <f t="shared" si="0"/>
        <v>0</v>
      </c>
      <c r="W18" s="1"/>
      <c r="X18" s="1"/>
      <c r="Y18" s="1"/>
      <c r="Z18" s="1"/>
      <c r="AA18" s="1"/>
      <c r="AB18" s="1"/>
    </row>
    <row r="19" spans="1:28" ht="14.25">
      <c r="A19" s="110" t="s">
        <v>34</v>
      </c>
      <c r="B19" s="1" t="s">
        <v>685</v>
      </c>
      <c r="C19" s="112" t="s">
        <v>591</v>
      </c>
      <c r="D19" s="111">
        <v>4</v>
      </c>
      <c r="E19" s="112">
        <v>4.12</v>
      </c>
      <c r="F19" s="112">
        <v>11</v>
      </c>
      <c r="G19" s="112">
        <v>1</v>
      </c>
      <c r="H19" s="112" t="s">
        <v>591</v>
      </c>
      <c r="I19" s="112">
        <v>90</v>
      </c>
      <c r="J19" s="122" t="s">
        <v>683</v>
      </c>
      <c r="K19" s="111">
        <v>10</v>
      </c>
      <c r="L19" s="112">
        <v>120</v>
      </c>
      <c r="M19" s="112">
        <v>10</v>
      </c>
      <c r="N19" s="112">
        <v>50</v>
      </c>
      <c r="O19" s="110"/>
      <c r="P19" s="110">
        <v>14021.8</v>
      </c>
      <c r="Q19" s="1">
        <v>0</v>
      </c>
      <c r="R19" s="123">
        <v>402</v>
      </c>
      <c r="S19" s="1">
        <v>329</v>
      </c>
      <c r="T19" s="1">
        <v>321.2</v>
      </c>
      <c r="U19">
        <f t="shared" si="0"/>
        <v>278.25870646766168</v>
      </c>
      <c r="W19" s="1"/>
      <c r="X19" s="1"/>
      <c r="Y19" s="1"/>
      <c r="Z19" s="1"/>
      <c r="AA19" s="1"/>
      <c r="AB19" s="1"/>
    </row>
    <row r="20" spans="1:28" ht="14.25">
      <c r="A20" s="110" t="s">
        <v>36</v>
      </c>
      <c r="B20" s="1" t="s">
        <v>685</v>
      </c>
      <c r="C20" s="112" t="s">
        <v>591</v>
      </c>
      <c r="D20" s="111">
        <v>4</v>
      </c>
      <c r="E20" s="112">
        <v>4.12</v>
      </c>
      <c r="F20" s="112">
        <v>11</v>
      </c>
      <c r="G20" s="112">
        <v>1</v>
      </c>
      <c r="H20" s="112" t="s">
        <v>591</v>
      </c>
      <c r="I20" s="112">
        <v>90</v>
      </c>
      <c r="J20" s="122" t="s">
        <v>684</v>
      </c>
      <c r="K20" s="111">
        <v>10</v>
      </c>
      <c r="L20" s="112">
        <v>120</v>
      </c>
      <c r="M20" s="112">
        <v>10</v>
      </c>
      <c r="N20" s="112">
        <v>50</v>
      </c>
      <c r="O20" s="110"/>
      <c r="P20" s="110">
        <v>11432.7</v>
      </c>
      <c r="Q20" s="1">
        <v>0</v>
      </c>
      <c r="R20" s="123">
        <v>647.70000000000005</v>
      </c>
      <c r="S20" s="1">
        <v>17.3</v>
      </c>
      <c r="T20" s="1">
        <v>423.5</v>
      </c>
      <c r="U20">
        <f t="shared" si="0"/>
        <v>9.0813648293963265</v>
      </c>
      <c r="W20" s="1"/>
      <c r="X20" s="1"/>
      <c r="Y20" s="1"/>
      <c r="Z20" s="1"/>
      <c r="AA20" s="1"/>
      <c r="AB20" s="1"/>
    </row>
    <row r="21" spans="1:28" ht="14.25">
      <c r="A21" s="110" t="s">
        <v>38</v>
      </c>
      <c r="B21" s="1" t="s">
        <v>685</v>
      </c>
      <c r="C21" s="112" t="s">
        <v>621</v>
      </c>
      <c r="D21" s="111">
        <v>4</v>
      </c>
      <c r="E21" s="112">
        <v>4.12</v>
      </c>
      <c r="F21" s="112">
        <v>11</v>
      </c>
      <c r="G21" s="112">
        <v>1</v>
      </c>
      <c r="H21" s="112" t="s">
        <v>621</v>
      </c>
      <c r="I21" s="112">
        <v>90</v>
      </c>
      <c r="J21" s="122" t="s">
        <v>686</v>
      </c>
      <c r="K21" s="111">
        <v>10</v>
      </c>
      <c r="L21" s="112">
        <v>120</v>
      </c>
      <c r="M21" s="112">
        <v>10</v>
      </c>
      <c r="N21" s="112">
        <v>50</v>
      </c>
      <c r="O21" s="110"/>
      <c r="P21" s="110">
        <v>12428.8</v>
      </c>
      <c r="Q21" s="1">
        <v>0</v>
      </c>
      <c r="R21" s="123">
        <v>594</v>
      </c>
      <c r="S21" s="1">
        <v>264.3</v>
      </c>
      <c r="T21" s="1">
        <v>400.9</v>
      </c>
      <c r="U21">
        <f t="shared" si="0"/>
        <v>151.28282828282826</v>
      </c>
      <c r="W21" s="1"/>
      <c r="X21" s="1"/>
      <c r="Y21" s="1"/>
      <c r="Z21" s="1"/>
      <c r="AA21" s="1"/>
      <c r="AB21" s="1"/>
    </row>
    <row r="22" spans="1:28" ht="14.25">
      <c r="A22" s="110" t="s">
        <v>40</v>
      </c>
      <c r="B22" s="1" t="s">
        <v>685</v>
      </c>
      <c r="C22" s="112" t="s">
        <v>621</v>
      </c>
      <c r="D22" s="111">
        <v>4</v>
      </c>
      <c r="E22" s="112">
        <v>4.12</v>
      </c>
      <c r="F22" s="112">
        <v>11</v>
      </c>
      <c r="G22" s="112">
        <v>1</v>
      </c>
      <c r="H22" s="112" t="s">
        <v>621</v>
      </c>
      <c r="I22" s="112">
        <v>90</v>
      </c>
      <c r="J22" s="122" t="s">
        <v>687</v>
      </c>
      <c r="K22" s="111">
        <v>10</v>
      </c>
      <c r="L22" s="112">
        <v>120</v>
      </c>
      <c r="M22" s="112">
        <v>10</v>
      </c>
      <c r="N22" s="112">
        <v>50</v>
      </c>
      <c r="O22" s="110"/>
      <c r="P22" s="1">
        <v>12844</v>
      </c>
      <c r="Q22" s="1">
        <v>0</v>
      </c>
      <c r="R22" s="123">
        <v>501.2</v>
      </c>
      <c r="S22" s="1">
        <v>346.2</v>
      </c>
      <c r="T22" s="1">
        <v>398.8</v>
      </c>
      <c r="U22">
        <f t="shared" si="0"/>
        <v>234.85235434956107</v>
      </c>
      <c r="W22" s="1"/>
      <c r="X22" s="1"/>
      <c r="Y22" s="1"/>
      <c r="Z22" s="1"/>
      <c r="AA22" s="1"/>
      <c r="AB22" s="1"/>
    </row>
    <row r="23" spans="1:28" ht="12.75">
      <c r="A23" s="110"/>
      <c r="B23" s="1"/>
      <c r="C23" s="110"/>
      <c r="D23" s="112"/>
      <c r="E23" s="112"/>
      <c r="F23" s="112"/>
      <c r="G23" s="112"/>
      <c r="H23" s="112"/>
      <c r="I23" s="112"/>
      <c r="J23" s="112"/>
      <c r="K23" s="112"/>
      <c r="L23" s="112"/>
      <c r="M23" s="112"/>
      <c r="N23" s="112"/>
      <c r="P23" s="110"/>
    </row>
    <row r="24" spans="1:28" ht="12.75">
      <c r="A24" s="110"/>
      <c r="B24" s="1"/>
      <c r="C24" s="110"/>
      <c r="D24" s="112"/>
      <c r="E24" s="112"/>
      <c r="F24" s="112"/>
      <c r="G24" s="112"/>
      <c r="H24" s="112"/>
      <c r="I24" s="112"/>
      <c r="J24" s="112"/>
      <c r="K24" s="112"/>
      <c r="L24" s="112"/>
      <c r="M24" s="112"/>
      <c r="N24" s="112"/>
      <c r="P24" s="110"/>
    </row>
    <row r="25" spans="1:28" ht="12.75">
      <c r="A25" s="110"/>
      <c r="B25" s="1"/>
      <c r="C25" s="110"/>
      <c r="D25" s="112"/>
      <c r="E25" s="112"/>
      <c r="F25" s="112"/>
      <c r="G25" s="112"/>
      <c r="H25" s="112"/>
      <c r="I25" s="112"/>
      <c r="J25" s="112"/>
      <c r="K25" s="112" t="s">
        <v>688</v>
      </c>
      <c r="L25" s="112">
        <f>SUM(L3:L22)</f>
        <v>2400</v>
      </c>
      <c r="M25" s="112"/>
      <c r="N25" s="112"/>
      <c r="P25" s="110"/>
    </row>
    <row r="26" spans="1:28" ht="12.75">
      <c r="A26" s="110"/>
      <c r="B26" s="1"/>
      <c r="C26" s="110"/>
      <c r="D26" s="112"/>
      <c r="E26" s="112"/>
      <c r="F26" s="112"/>
      <c r="G26" s="112"/>
      <c r="H26" s="112"/>
      <c r="I26" s="112"/>
      <c r="J26" s="112"/>
      <c r="K26" s="112"/>
      <c r="L26" s="112"/>
      <c r="M26" s="112"/>
      <c r="N26" s="112"/>
      <c r="P26" s="110"/>
      <c r="AB26" s="124"/>
    </row>
    <row r="27" spans="1:28" ht="12.75">
      <c r="A27" s="1"/>
      <c r="B27" s="1"/>
      <c r="C27" s="110"/>
      <c r="D27" s="112"/>
      <c r="E27" s="112"/>
      <c r="F27" s="112"/>
      <c r="G27" s="112"/>
      <c r="H27" s="112"/>
      <c r="I27" s="112" t="s">
        <v>45</v>
      </c>
      <c r="J27" s="111"/>
      <c r="K27" s="111"/>
      <c r="L27" s="112" t="s">
        <v>688</v>
      </c>
      <c r="M27" s="112"/>
      <c r="N27" s="112"/>
      <c r="P27" s="110"/>
      <c r="AB27" s="124"/>
    </row>
    <row r="28" spans="1:28" ht="12.75">
      <c r="A28" s="110" t="s">
        <v>689</v>
      </c>
      <c r="B28" s="1"/>
      <c r="C28" s="110"/>
      <c r="D28" s="112"/>
      <c r="E28" s="112"/>
      <c r="F28" s="112"/>
      <c r="G28" s="5"/>
      <c r="H28" s="125"/>
      <c r="I28" s="125" t="s">
        <v>301</v>
      </c>
      <c r="J28" s="126"/>
      <c r="K28" s="126">
        <v>0.5</v>
      </c>
      <c r="M28" s="112"/>
      <c r="N28" s="112"/>
      <c r="AB28" s="124"/>
    </row>
    <row r="29" spans="1:28" ht="12.75">
      <c r="A29" s="1" t="s">
        <v>690</v>
      </c>
      <c r="H29" s="112"/>
      <c r="I29" s="112">
        <v>1250</v>
      </c>
      <c r="J29" s="127"/>
      <c r="K29" s="127">
        <f>I29/K28-I29</f>
        <v>1250</v>
      </c>
      <c r="L29" s="127">
        <f>K29+I29</f>
        <v>2500</v>
      </c>
      <c r="AB29" s="124"/>
    </row>
    <row r="30" spans="1:28" ht="12.75">
      <c r="A30" s="1" t="s">
        <v>691</v>
      </c>
      <c r="G30" s="5"/>
      <c r="H30" s="128"/>
      <c r="I30" s="128" t="s">
        <v>46</v>
      </c>
      <c r="J30" s="126"/>
      <c r="K30" s="126" t="s">
        <v>692</v>
      </c>
      <c r="V30">
        <v>1261.8086347724623</v>
      </c>
      <c r="AB30" s="124"/>
    </row>
    <row r="31" spans="1:28" ht="12.75">
      <c r="A31" s="1" t="s">
        <v>693</v>
      </c>
      <c r="H31" s="112"/>
      <c r="I31" s="1"/>
      <c r="J31" s="112"/>
      <c r="K31" s="112"/>
      <c r="L31" s="127"/>
      <c r="V31">
        <v>1236.3725208393216</v>
      </c>
      <c r="AB31" s="124"/>
    </row>
    <row r="32" spans="1:28" ht="12.75">
      <c r="A32" s="1" t="s">
        <v>694</v>
      </c>
      <c r="G32" s="5"/>
      <c r="H32" s="128"/>
      <c r="I32" s="128"/>
      <c r="J32" s="126"/>
      <c r="K32" s="126"/>
      <c r="V32">
        <v>1163.204134366925</v>
      </c>
      <c r="AB32" s="124"/>
    </row>
    <row r="33" spans="1:28" ht="12.75">
      <c r="A33" s="1" t="s">
        <v>695</v>
      </c>
      <c r="H33" s="112"/>
      <c r="I33" s="112"/>
      <c r="J33" s="127"/>
      <c r="K33" s="127"/>
      <c r="L33" s="127"/>
      <c r="V33">
        <v>0</v>
      </c>
      <c r="AB33" s="124"/>
    </row>
    <row r="34" spans="1:28" ht="12.75">
      <c r="A34" s="1" t="s">
        <v>632</v>
      </c>
      <c r="G34" s="5"/>
      <c r="H34" s="128"/>
      <c r="I34" s="128"/>
      <c r="J34" s="126"/>
      <c r="K34" s="126"/>
      <c r="V34">
        <v>0</v>
      </c>
      <c r="AB34" s="124"/>
    </row>
    <row r="35" spans="1:28" ht="12.75">
      <c r="A35" s="1" t="s">
        <v>696</v>
      </c>
      <c r="H35" s="112"/>
      <c r="I35" s="112"/>
      <c r="J35" s="127"/>
      <c r="K35" s="127"/>
      <c r="L35" s="127"/>
      <c r="V35">
        <v>6.3610315186246424</v>
      </c>
      <c r="AB35" s="124"/>
    </row>
    <row r="36" spans="1:28" ht="12.75">
      <c r="A36" s="1" t="s">
        <v>697</v>
      </c>
      <c r="V36">
        <v>113.57004326421006</v>
      </c>
      <c r="AB36" s="124"/>
    </row>
    <row r="37" spans="1:28" ht="12.75">
      <c r="A37" s="1" t="s">
        <v>698</v>
      </c>
      <c r="V37">
        <v>351.42237875914384</v>
      </c>
      <c r="AB37" s="124"/>
    </row>
    <row r="38" spans="1:28" ht="12.75">
      <c r="A38" s="1" t="s">
        <v>699</v>
      </c>
      <c r="V38">
        <v>85.663486556808337</v>
      </c>
      <c r="AB38" s="124"/>
    </row>
    <row r="39" spans="1:28" ht="12.75">
      <c r="A39" s="1" t="s">
        <v>700</v>
      </c>
      <c r="V39">
        <v>678.38772663877262</v>
      </c>
      <c r="AB39" s="124"/>
    </row>
    <row r="40" spans="1:28" ht="12.75">
      <c r="A40" s="1" t="s">
        <v>701</v>
      </c>
      <c r="V40">
        <v>0</v>
      </c>
      <c r="AB40" s="124"/>
    </row>
    <row r="41" spans="1:28" ht="12.75">
      <c r="A41" s="1"/>
      <c r="V41">
        <v>239.00990099009903</v>
      </c>
      <c r="AB41" s="124"/>
    </row>
    <row r="42" spans="1:28" ht="12.75">
      <c r="A42" s="1" t="s">
        <v>702</v>
      </c>
      <c r="V42">
        <v>3.6715803908124789</v>
      </c>
      <c r="AB42" s="124"/>
    </row>
    <row r="43" spans="1:28" ht="12.75">
      <c r="A43" s="1" t="s">
        <v>703</v>
      </c>
      <c r="V43">
        <v>269.42920681986658</v>
      </c>
      <c r="AB43" s="124"/>
    </row>
    <row r="44" spans="1:28" ht="12.75">
      <c r="A44" s="1" t="s">
        <v>704</v>
      </c>
      <c r="V44">
        <v>0</v>
      </c>
      <c r="AB44" s="124"/>
    </row>
    <row r="45" spans="1:28" ht="12.75">
      <c r="A45" s="1" t="s">
        <v>705</v>
      </c>
      <c r="V45">
        <v>278.25870646766168</v>
      </c>
    </row>
    <row r="46" spans="1:28" ht="12.75">
      <c r="A46" s="1"/>
      <c r="V46">
        <v>9.0813648293963265</v>
      </c>
    </row>
    <row r="47" spans="1:28" ht="12.75">
      <c r="A47" s="1" t="s">
        <v>706</v>
      </c>
      <c r="V47">
        <v>151.28282828282826</v>
      </c>
    </row>
    <row r="48" spans="1:28" ht="12.75">
      <c r="A48" s="1"/>
      <c r="V48">
        <v>234.85235434956107</v>
      </c>
    </row>
    <row r="49" spans="1:1" ht="12.75">
      <c r="A49" s="1"/>
    </row>
    <row r="50" spans="1:1" ht="12.75">
      <c r="A50" s="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6"/>
  <sheetViews>
    <sheetView workbookViewId="0"/>
  </sheetViews>
  <sheetFormatPr defaultColWidth="14.42578125" defaultRowHeight="15.75" customHeight="1"/>
  <sheetData>
    <row r="1" spans="1:1" ht="15.75" customHeight="1">
      <c r="A1" s="129" t="s">
        <v>707</v>
      </c>
    </row>
    <row r="2" spans="1:1" ht="15.75" customHeight="1">
      <c r="A2" s="1" t="s">
        <v>708</v>
      </c>
    </row>
    <row r="3" spans="1:1" ht="15.75" customHeight="1">
      <c r="A3" s="1" t="s">
        <v>709</v>
      </c>
    </row>
    <row r="4" spans="1:1" ht="15.75" customHeight="1">
      <c r="A4" s="1" t="s">
        <v>710</v>
      </c>
    </row>
    <row r="5" spans="1:1" ht="15.75" customHeight="1">
      <c r="A5" s="1" t="s">
        <v>711</v>
      </c>
    </row>
    <row r="6" spans="1:1" ht="15.75" customHeight="1">
      <c r="A6" s="1" t="s">
        <v>712</v>
      </c>
    </row>
    <row r="7" spans="1:1" ht="15.75" customHeight="1">
      <c r="A7" s="1" t="s">
        <v>713</v>
      </c>
    </row>
    <row r="8" spans="1:1" ht="15.75" customHeight="1">
      <c r="A8" s="1" t="s">
        <v>714</v>
      </c>
    </row>
    <row r="9" spans="1:1" ht="15.75" customHeight="1">
      <c r="A9" s="1" t="s">
        <v>715</v>
      </c>
    </row>
    <row r="10" spans="1:1" ht="15.75" customHeight="1">
      <c r="A10" s="1" t="s">
        <v>716</v>
      </c>
    </row>
    <row r="11" spans="1:1" ht="15.75" customHeight="1">
      <c r="A11" s="1" t="s">
        <v>717</v>
      </c>
    </row>
    <row r="12" spans="1:1" ht="15.75" customHeight="1">
      <c r="A12" s="1" t="s">
        <v>718</v>
      </c>
    </row>
    <row r="13" spans="1:1" ht="15.75" customHeight="1">
      <c r="A13" s="1" t="s">
        <v>719</v>
      </c>
    </row>
    <row r="14" spans="1:1" ht="15.75" customHeight="1">
      <c r="A14" s="1" t="s">
        <v>720</v>
      </c>
    </row>
    <row r="15" spans="1:1" ht="15.75" customHeight="1">
      <c r="A15" s="1" t="s">
        <v>721</v>
      </c>
    </row>
    <row r="16" spans="1:1" ht="15.75" customHeight="1">
      <c r="A16" s="1" t="s">
        <v>722</v>
      </c>
    </row>
    <row r="17" spans="1:1" ht="15.75" customHeight="1">
      <c r="A17" s="1" t="s">
        <v>723</v>
      </c>
    </row>
    <row r="18" spans="1:1" ht="15.75" customHeight="1">
      <c r="A18" s="1" t="s">
        <v>724</v>
      </c>
    </row>
    <row r="20" spans="1:1" ht="15.75" customHeight="1">
      <c r="A20" s="1" t="s">
        <v>725</v>
      </c>
    </row>
    <row r="21" spans="1:1" ht="15.75" customHeight="1">
      <c r="A21" s="1" t="s">
        <v>726</v>
      </c>
    </row>
    <row r="22" spans="1:1" ht="15.75" customHeight="1">
      <c r="A22" s="1" t="s">
        <v>727</v>
      </c>
    </row>
    <row r="23" spans="1:1" ht="15.75" customHeight="1">
      <c r="A23" s="1" t="s">
        <v>728</v>
      </c>
    </row>
    <row r="24" spans="1:1" ht="15.75" customHeight="1">
      <c r="A24" s="1" t="s">
        <v>729</v>
      </c>
    </row>
    <row r="25" spans="1:1" ht="15.75" customHeight="1">
      <c r="A25" s="1" t="s">
        <v>730</v>
      </c>
    </row>
    <row r="26" spans="1:1" ht="15.75" customHeight="1">
      <c r="A26" s="1" t="s">
        <v>731</v>
      </c>
    </row>
    <row r="27" spans="1:1" ht="15.75" customHeight="1">
      <c r="A27" s="1" t="s">
        <v>732</v>
      </c>
    </row>
    <row r="28" spans="1:1" ht="15.75" customHeight="1">
      <c r="A28" s="1" t="s">
        <v>733</v>
      </c>
    </row>
    <row r="30" spans="1:1" ht="15.75" customHeight="1">
      <c r="A30" s="1" t="s">
        <v>734</v>
      </c>
    </row>
    <row r="31" spans="1:1" ht="15.75" customHeight="1">
      <c r="A31" s="1" t="s">
        <v>735</v>
      </c>
    </row>
    <row r="32" spans="1:1" ht="15.75" customHeight="1">
      <c r="A32" s="1" t="s">
        <v>736</v>
      </c>
    </row>
    <row r="33" spans="1:1" ht="15.75" customHeight="1">
      <c r="A33" s="1" t="s">
        <v>737</v>
      </c>
    </row>
    <row r="35" spans="1:1" ht="15.75" customHeight="1">
      <c r="A35" s="1" t="s">
        <v>738</v>
      </c>
    </row>
    <row r="36" spans="1:1" ht="15.75" customHeight="1">
      <c r="A36" s="1" t="s">
        <v>739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02"/>
  <sheetViews>
    <sheetView workbookViewId="0"/>
  </sheetViews>
  <sheetFormatPr defaultColWidth="14.42578125" defaultRowHeight="15.75" customHeight="1"/>
  <cols>
    <col min="2" max="2" width="20.5703125" customWidth="1"/>
    <col min="6" max="6" width="24.42578125" customWidth="1"/>
    <col min="7" max="7" width="18.85546875" customWidth="1"/>
    <col min="8" max="8" width="23.140625" customWidth="1"/>
    <col min="9" max="9" width="15.85546875" customWidth="1"/>
    <col min="10" max="10" width="19.85546875" customWidth="1"/>
    <col min="11" max="11" width="17.85546875" customWidth="1"/>
    <col min="12" max="12" width="24.7109375" customWidth="1"/>
    <col min="13" max="14" width="20.5703125" customWidth="1"/>
  </cols>
  <sheetData>
    <row r="1" spans="1:18" ht="15.75" customHeight="1">
      <c r="A1" s="11"/>
      <c r="B1" s="12" t="s">
        <v>186</v>
      </c>
      <c r="C1" s="13" t="s">
        <v>187</v>
      </c>
      <c r="D1" s="14" t="s">
        <v>188</v>
      </c>
      <c r="E1" s="14" t="s">
        <v>44</v>
      </c>
      <c r="F1" s="15" t="s">
        <v>189</v>
      </c>
      <c r="J1" s="33" t="s">
        <v>220</v>
      </c>
      <c r="K1" s="35"/>
      <c r="L1" s="36"/>
      <c r="M1" s="16" t="s">
        <v>119</v>
      </c>
      <c r="N1" s="17">
        <f>L6</f>
        <v>1.1300000000000001</v>
      </c>
      <c r="O1" s="17" t="s">
        <v>190</v>
      </c>
      <c r="P1" s="18"/>
      <c r="Q1" s="19" t="s">
        <v>191</v>
      </c>
      <c r="R1" s="20"/>
    </row>
    <row r="2" spans="1:18" ht="15.75" customHeight="1">
      <c r="A2" s="11"/>
      <c r="B2" s="21">
        <v>5</v>
      </c>
      <c r="C2" s="22">
        <v>3</v>
      </c>
      <c r="D2" s="23">
        <v>120</v>
      </c>
      <c r="E2" s="23">
        <v>0.5</v>
      </c>
      <c r="F2" s="24">
        <f>E2*D2*C2*B2</f>
        <v>900</v>
      </c>
      <c r="J2" s="10" t="s">
        <v>740</v>
      </c>
      <c r="K2" s="1">
        <v>0.27</v>
      </c>
      <c r="L2" s="130">
        <f t="shared" ref="L2:L5" si="0">K2*4</f>
        <v>1.08</v>
      </c>
      <c r="M2" s="25" t="s">
        <v>122</v>
      </c>
      <c r="N2" s="26">
        <v>363</v>
      </c>
      <c r="O2" s="26" t="s">
        <v>192</v>
      </c>
      <c r="P2" s="27"/>
      <c r="Q2" s="28">
        <f>N17/(N8*1000)*N7</f>
        <v>66.517297297297304</v>
      </c>
      <c r="R2" s="29" t="s">
        <v>133</v>
      </c>
    </row>
    <row r="3" spans="1:18" ht="15.75" customHeight="1">
      <c r="A3" s="9"/>
      <c r="B3" s="1"/>
      <c r="C3" s="30"/>
      <c r="D3" s="30"/>
      <c r="E3" s="30"/>
      <c r="J3" s="10" t="s">
        <v>741</v>
      </c>
      <c r="K3" s="1">
        <v>0.28000000000000003</v>
      </c>
      <c r="L3" s="131">
        <f t="shared" si="0"/>
        <v>1.1200000000000001</v>
      </c>
      <c r="M3" s="25"/>
      <c r="N3" s="26"/>
      <c r="O3" s="27"/>
      <c r="P3" s="27"/>
      <c r="Q3" s="31"/>
      <c r="R3" s="32"/>
    </row>
    <row r="4" spans="1:18" ht="15.75" customHeight="1">
      <c r="A4" s="9"/>
      <c r="B4" s="33" t="s">
        <v>193</v>
      </c>
      <c r="C4" s="34"/>
      <c r="D4" s="34"/>
      <c r="E4" s="34"/>
      <c r="F4" s="35"/>
      <c r="G4" s="35"/>
      <c r="H4" s="36"/>
      <c r="J4" s="10" t="s">
        <v>742</v>
      </c>
      <c r="K4" s="1">
        <v>0.3</v>
      </c>
      <c r="L4" s="131">
        <f t="shared" si="0"/>
        <v>1.2</v>
      </c>
      <c r="M4" s="25" t="s">
        <v>194</v>
      </c>
      <c r="N4" s="26">
        <v>4</v>
      </c>
      <c r="O4" s="27"/>
      <c r="P4" s="27"/>
      <c r="Q4" s="31" t="s">
        <v>195</v>
      </c>
      <c r="R4" s="32"/>
    </row>
    <row r="5" spans="1:18" ht="15.75" customHeight="1">
      <c r="A5" s="9"/>
      <c r="B5" s="10" t="s">
        <v>171</v>
      </c>
      <c r="C5" s="30"/>
      <c r="D5" s="30"/>
      <c r="E5" s="30"/>
      <c r="H5" s="37"/>
      <c r="J5" s="10" t="s">
        <v>743</v>
      </c>
      <c r="K5" s="1">
        <v>0.28000000000000003</v>
      </c>
      <c r="L5" s="131">
        <f t="shared" si="0"/>
        <v>1.1200000000000001</v>
      </c>
      <c r="M5" s="25"/>
      <c r="N5" s="26"/>
      <c r="O5" s="26"/>
      <c r="P5" s="27"/>
      <c r="Q5" s="27"/>
      <c r="R5" s="29"/>
    </row>
    <row r="6" spans="1:18" ht="15.75" customHeight="1">
      <c r="A6" s="9"/>
      <c r="B6" s="10" t="s">
        <v>196</v>
      </c>
      <c r="C6" s="30"/>
      <c r="D6" s="30"/>
      <c r="E6" s="30"/>
      <c r="H6" s="37"/>
      <c r="J6" s="41" t="s">
        <v>216</v>
      </c>
      <c r="K6" s="43"/>
      <c r="L6" s="24">
        <f>AVERAGE(L2:L5)</f>
        <v>1.1300000000000001</v>
      </c>
      <c r="M6" s="25" t="s">
        <v>129</v>
      </c>
      <c r="N6" s="26">
        <v>100</v>
      </c>
      <c r="O6" s="26" t="s">
        <v>130</v>
      </c>
      <c r="P6" s="27"/>
      <c r="Q6" s="28">
        <f>120/1200*Q2*0.001</f>
        <v>6.651729729729731E-3</v>
      </c>
      <c r="R6" s="29" t="s">
        <v>70</v>
      </c>
    </row>
    <row r="7" spans="1:18" ht="15.75" customHeight="1">
      <c r="A7" s="9"/>
      <c r="B7" s="10" t="s">
        <v>744</v>
      </c>
      <c r="C7" s="30"/>
      <c r="D7" s="30"/>
      <c r="E7" s="30"/>
      <c r="H7" s="37"/>
      <c r="M7" s="25" t="s">
        <v>132</v>
      </c>
      <c r="N7" s="28">
        <f>N1*N2*N4*N6*0.001</f>
        <v>164.07600000000002</v>
      </c>
      <c r="O7" s="26" t="s">
        <v>133</v>
      </c>
      <c r="P7" s="31" t="s">
        <v>198</v>
      </c>
      <c r="Q7" s="38">
        <f>(120/1000)/Q6</f>
        <v>18.040420293034931</v>
      </c>
      <c r="R7" s="39" t="s">
        <v>135</v>
      </c>
    </row>
    <row r="8" spans="1:18" ht="15.75" customHeight="1">
      <c r="A8" s="9"/>
      <c r="B8" s="10" t="s">
        <v>199</v>
      </c>
      <c r="C8" s="30"/>
      <c r="D8" s="30"/>
      <c r="E8" s="30"/>
      <c r="H8" s="37"/>
      <c r="M8" s="25" t="s">
        <v>137</v>
      </c>
      <c r="N8" s="40">
        <v>1.48</v>
      </c>
      <c r="O8" s="26" t="s">
        <v>63</v>
      </c>
      <c r="P8" s="27"/>
      <c r="Q8" s="27"/>
      <c r="R8" s="32"/>
    </row>
    <row r="9" spans="1:18" ht="15.75" customHeight="1">
      <c r="A9" s="9"/>
      <c r="B9" s="10" t="s">
        <v>200</v>
      </c>
      <c r="C9" s="30"/>
      <c r="D9" s="30"/>
      <c r="E9" s="30"/>
      <c r="H9" s="37"/>
      <c r="M9" s="25" t="s">
        <v>139</v>
      </c>
      <c r="N9" s="26">
        <f>N7/N8</f>
        <v>110.86216216216218</v>
      </c>
      <c r="O9" s="26" t="s">
        <v>140</v>
      </c>
      <c r="P9" s="27"/>
      <c r="Q9" s="27"/>
      <c r="R9" s="32"/>
    </row>
    <row r="10" spans="1:18" ht="15.75" customHeight="1">
      <c r="A10" s="9"/>
      <c r="B10" s="10" t="s">
        <v>176</v>
      </c>
      <c r="C10" s="30"/>
      <c r="D10" s="30"/>
      <c r="E10" s="30"/>
      <c r="H10" s="37"/>
      <c r="M10" s="25"/>
      <c r="N10" s="26"/>
      <c r="O10" s="26"/>
      <c r="P10" s="27"/>
      <c r="Q10" s="26"/>
      <c r="R10" s="32"/>
    </row>
    <row r="11" spans="1:18" ht="15.75" customHeight="1">
      <c r="A11" s="9"/>
      <c r="B11" s="41" t="s">
        <v>201</v>
      </c>
      <c r="C11" s="42"/>
      <c r="D11" s="42"/>
      <c r="E11" s="42"/>
      <c r="F11" s="43"/>
      <c r="G11" s="43"/>
      <c r="H11" s="44"/>
      <c r="M11" s="25"/>
      <c r="N11" s="26"/>
      <c r="O11" s="26"/>
      <c r="P11" s="27"/>
      <c r="Q11" s="26"/>
      <c r="R11" s="32"/>
    </row>
    <row r="12" spans="1:18" ht="15.75" customHeight="1">
      <c r="A12" s="45"/>
      <c r="B12" s="45"/>
      <c r="C12" s="45"/>
      <c r="D12" s="45"/>
      <c r="E12" s="11"/>
      <c r="F12" s="11"/>
      <c r="G12" s="11"/>
      <c r="H12" s="11"/>
      <c r="I12" s="11"/>
      <c r="J12" s="1"/>
      <c r="K12" s="1"/>
      <c r="M12" s="25" t="s">
        <v>202</v>
      </c>
      <c r="N12" s="26">
        <v>0.5</v>
      </c>
      <c r="O12" s="26"/>
      <c r="P12" s="27"/>
      <c r="Q12" s="26" t="s">
        <v>203</v>
      </c>
      <c r="R12" s="32"/>
    </row>
    <row r="13" spans="1:18" ht="15.75" customHeight="1">
      <c r="A13" s="45"/>
      <c r="B13" s="47"/>
      <c r="C13" s="48"/>
      <c r="D13" s="48" t="s">
        <v>205</v>
      </c>
      <c r="E13" s="49" t="s">
        <v>206</v>
      </c>
      <c r="F13" s="49" t="s">
        <v>207</v>
      </c>
      <c r="G13" s="49" t="s">
        <v>208</v>
      </c>
      <c r="H13" s="49" t="s">
        <v>209</v>
      </c>
      <c r="I13" s="49" t="s">
        <v>157</v>
      </c>
      <c r="J13" s="50" t="s">
        <v>210</v>
      </c>
      <c r="K13" s="51" t="s">
        <v>211</v>
      </c>
      <c r="M13" s="25" t="s">
        <v>146</v>
      </c>
      <c r="N13" s="26">
        <f>N9*N12</f>
        <v>55.431081081081089</v>
      </c>
      <c r="O13" s="26" t="s">
        <v>140</v>
      </c>
      <c r="P13" s="27"/>
      <c r="Q13" s="28">
        <f>N13*(120/1000)/1000</f>
        <v>6.6517297297297301E-3</v>
      </c>
      <c r="R13" s="29" t="s">
        <v>70</v>
      </c>
    </row>
    <row r="14" spans="1:18" ht="15.75" customHeight="1">
      <c r="A14" s="132" t="s">
        <v>745</v>
      </c>
      <c r="B14" s="190" t="s">
        <v>212</v>
      </c>
      <c r="C14" s="192" t="s">
        <v>213</v>
      </c>
      <c r="D14" s="54">
        <v>1</v>
      </c>
      <c r="E14" s="54">
        <v>0.4733</v>
      </c>
      <c r="F14" s="55">
        <f>E14</f>
        <v>0.4733</v>
      </c>
      <c r="G14" s="54">
        <v>0.45939999999999998</v>
      </c>
      <c r="H14" s="55">
        <f>G14</f>
        <v>0.45939999999999998</v>
      </c>
      <c r="I14" s="192">
        <f>AVERAGE(H14:H16)</f>
        <v>0.45876666666666671</v>
      </c>
      <c r="J14" s="57">
        <f t="shared" ref="J14:J16" si="1">(F14-H14)/F14</f>
        <v>2.9368265370800811E-2</v>
      </c>
      <c r="K14" s="58">
        <f t="shared" ref="K14:K16" si="2">F14-H14</f>
        <v>1.3900000000000023E-2</v>
      </c>
      <c r="M14" s="25" t="s">
        <v>214</v>
      </c>
      <c r="N14" s="26">
        <v>600</v>
      </c>
      <c r="O14" s="26" t="s">
        <v>215</v>
      </c>
      <c r="P14" s="27"/>
      <c r="Q14" s="26" t="s">
        <v>135</v>
      </c>
      <c r="R14" s="32"/>
    </row>
    <row r="15" spans="1:18" ht="15.75" customHeight="1">
      <c r="A15" s="52"/>
      <c r="B15" s="191"/>
      <c r="C15" s="186"/>
      <c r="D15" s="54">
        <v>2</v>
      </c>
      <c r="E15" s="54">
        <v>0.95420000000000005</v>
      </c>
      <c r="F15" s="55">
        <f t="shared" ref="F15:F16" si="3">E15-E14</f>
        <v>0.48090000000000005</v>
      </c>
      <c r="G15" s="54">
        <v>0.45429999999999998</v>
      </c>
      <c r="H15" s="54">
        <v>0.45429999999999998</v>
      </c>
      <c r="I15" s="186"/>
      <c r="J15" s="57">
        <f t="shared" si="1"/>
        <v>5.5312954876273787E-2</v>
      </c>
      <c r="K15" s="58">
        <f t="shared" si="2"/>
        <v>2.6600000000000068E-2</v>
      </c>
      <c r="M15" s="25"/>
      <c r="N15" s="26"/>
      <c r="O15" s="26"/>
      <c r="P15" s="27"/>
      <c r="Q15" s="27"/>
      <c r="R15" s="32"/>
    </row>
    <row r="16" spans="1:18" ht="15.75" customHeight="1">
      <c r="A16" s="52"/>
      <c r="B16" s="191"/>
      <c r="C16" s="186"/>
      <c r="D16" s="54">
        <v>3</v>
      </c>
      <c r="E16" s="54">
        <v>1.4391</v>
      </c>
      <c r="F16" s="55">
        <f t="shared" si="3"/>
        <v>0.4849</v>
      </c>
      <c r="G16" s="54"/>
      <c r="H16" s="54">
        <v>0.46260000000000001</v>
      </c>
      <c r="I16" s="186"/>
      <c r="J16" s="57">
        <f t="shared" si="1"/>
        <v>4.5988863683233627E-2</v>
      </c>
      <c r="K16" s="58">
        <f t="shared" si="2"/>
        <v>2.2299999999999986E-2</v>
      </c>
      <c r="M16" s="25"/>
      <c r="N16" s="26"/>
      <c r="O16" s="26"/>
      <c r="P16" s="27"/>
      <c r="Q16" s="27"/>
      <c r="R16" s="32"/>
    </row>
    <row r="17" spans="1:32" ht="15.75" customHeight="1">
      <c r="A17" s="52"/>
      <c r="B17" s="191"/>
      <c r="C17" s="53"/>
      <c r="D17" s="54"/>
      <c r="E17" s="54"/>
      <c r="F17" s="59"/>
      <c r="G17" s="54"/>
      <c r="H17" s="54"/>
      <c r="I17" s="53" t="s">
        <v>216</v>
      </c>
      <c r="J17" s="57">
        <f t="shared" ref="J17:K17" si="4">AVERAGE(J14:J16)</f>
        <v>4.3556694643436068E-2</v>
      </c>
      <c r="K17" s="58">
        <f t="shared" si="4"/>
        <v>2.0933333333333359E-2</v>
      </c>
      <c r="M17" s="60" t="s">
        <v>217</v>
      </c>
      <c r="N17" s="61">
        <v>600</v>
      </c>
      <c r="O17" s="61" t="s">
        <v>215</v>
      </c>
      <c r="P17" s="62"/>
      <c r="Q17" s="63">
        <f>(120/1000)/Q13</f>
        <v>18.040420293034934</v>
      </c>
      <c r="R17" s="64"/>
    </row>
    <row r="18" spans="1:32" ht="15.75" customHeight="1">
      <c r="A18" s="52"/>
      <c r="B18" s="191"/>
      <c r="C18" s="53"/>
      <c r="D18" s="54"/>
      <c r="E18" s="54"/>
      <c r="F18" s="59"/>
      <c r="G18" s="54"/>
      <c r="H18" s="54"/>
      <c r="I18" s="56"/>
      <c r="J18" s="65" t="s">
        <v>218</v>
      </c>
      <c r="K18" s="66"/>
      <c r="L18" s="9"/>
      <c r="M18" s="11"/>
    </row>
    <row r="19" spans="1:32" ht="15.75" customHeight="1">
      <c r="A19" s="52"/>
      <c r="B19" s="191"/>
      <c r="C19" s="192" t="s">
        <v>219</v>
      </c>
      <c r="D19" s="54">
        <v>16</v>
      </c>
      <c r="E19" s="54">
        <v>0.48049999999999998</v>
      </c>
      <c r="F19" s="55">
        <f>E19</f>
        <v>0.48049999999999998</v>
      </c>
      <c r="G19" s="54"/>
      <c r="H19" s="54">
        <v>0.47010000000000002</v>
      </c>
      <c r="I19" s="192">
        <f>AVERAGE(H19:H21)</f>
        <v>0.47533333333333339</v>
      </c>
      <c r="J19" s="57">
        <f>H19-(F19-F19*J17)</f>
        <v>1.0528991776171059E-2</v>
      </c>
      <c r="K19" s="67"/>
      <c r="M19" s="11"/>
    </row>
    <row r="20" spans="1:32" ht="15.75" customHeight="1">
      <c r="A20" s="52"/>
      <c r="B20" s="191"/>
      <c r="C20" s="186"/>
      <c r="D20" s="54">
        <v>17</v>
      </c>
      <c r="E20" s="54">
        <v>0.97829999999999995</v>
      </c>
      <c r="F20" s="55">
        <f t="shared" ref="F20:F21" si="5">E20-E19</f>
        <v>0.49779999999999996</v>
      </c>
      <c r="G20" s="54"/>
      <c r="H20" s="54">
        <v>0.48720000000000002</v>
      </c>
      <c r="I20" s="186"/>
      <c r="J20" s="57">
        <f>H20-(F20-F20*J17)</f>
        <v>1.1082522593502508E-2</v>
      </c>
      <c r="K20" s="67"/>
      <c r="M20" s="11"/>
    </row>
    <row r="21" spans="1:32" ht="15.75" customHeight="1">
      <c r="A21" s="52"/>
      <c r="B21" s="191"/>
      <c r="C21" s="186"/>
      <c r="D21" s="70">
        <v>19</v>
      </c>
      <c r="E21" s="70">
        <v>1.4595</v>
      </c>
      <c r="F21" s="55">
        <f t="shared" si="5"/>
        <v>0.48120000000000007</v>
      </c>
      <c r="G21" s="54"/>
      <c r="H21" s="54">
        <v>0.46870000000000001</v>
      </c>
      <c r="I21" s="186"/>
      <c r="J21" s="57">
        <f>H21-(F21-F21*J17)</f>
        <v>8.4594814624213699E-3</v>
      </c>
      <c r="K21" s="67"/>
      <c r="M21" s="11"/>
    </row>
    <row r="22" spans="1:32" ht="15.75" customHeight="1">
      <c r="A22" s="52"/>
      <c r="B22" s="68"/>
      <c r="C22" s="69"/>
      <c r="D22" s="70"/>
      <c r="E22" s="70"/>
      <c r="F22" s="71"/>
      <c r="G22" s="70"/>
      <c r="H22" s="71"/>
      <c r="I22" s="69" t="s">
        <v>216</v>
      </c>
      <c r="J22" s="72">
        <f>AVERAGE(J19:J21)</f>
        <v>1.0023665277364979E-2</v>
      </c>
      <c r="K22" s="73"/>
      <c r="M22" s="11"/>
    </row>
    <row r="23" spans="1:32" ht="15.75" customHeight="1">
      <c r="A23" s="52"/>
      <c r="B23" s="52"/>
      <c r="C23" s="52"/>
      <c r="D23" s="11"/>
      <c r="E23" s="11"/>
      <c r="F23" s="74"/>
      <c r="G23" s="11"/>
      <c r="H23" s="74"/>
      <c r="I23" s="75"/>
      <c r="J23" s="9"/>
      <c r="K23" s="9"/>
      <c r="L23" s="9"/>
      <c r="M23" s="11"/>
      <c r="N23" s="76"/>
      <c r="O23" s="76"/>
      <c r="R23" s="76"/>
      <c r="S23" s="76"/>
      <c r="T23" s="76"/>
      <c r="U23" s="76"/>
      <c r="V23" s="76"/>
      <c r="W23" s="76"/>
      <c r="X23" s="76"/>
      <c r="Y23" s="76"/>
      <c r="Z23" s="76"/>
      <c r="AA23" s="76"/>
      <c r="AB23" s="76"/>
      <c r="AC23" s="76"/>
      <c r="AD23" s="76"/>
      <c r="AE23" s="76"/>
      <c r="AF23" s="76"/>
    </row>
    <row r="24" spans="1:32" ht="15.75" customHeight="1">
      <c r="A24" s="52"/>
      <c r="B24" s="77"/>
      <c r="C24" s="78"/>
      <c r="D24" s="49"/>
      <c r="E24" s="49"/>
      <c r="F24" s="79"/>
      <c r="G24" s="49"/>
      <c r="H24" s="79"/>
      <c r="I24" s="80"/>
      <c r="J24" s="50" t="s">
        <v>221</v>
      </c>
      <c r="K24" s="50" t="s">
        <v>222</v>
      </c>
      <c r="L24" s="50" t="s">
        <v>223</v>
      </c>
      <c r="M24" s="81" t="s">
        <v>224</v>
      </c>
    </row>
    <row r="25" spans="1:32" ht="15.75" customHeight="1">
      <c r="A25" s="52"/>
      <c r="B25" s="190" t="s">
        <v>228</v>
      </c>
      <c r="C25" s="53">
        <v>15</v>
      </c>
      <c r="D25" s="54">
        <v>4</v>
      </c>
      <c r="E25" s="54">
        <v>0.4788</v>
      </c>
      <c r="F25" s="55">
        <f>E25</f>
        <v>0.4788</v>
      </c>
      <c r="G25" s="54">
        <v>0.49299999999999999</v>
      </c>
      <c r="H25" s="55">
        <f>G25</f>
        <v>0.49299999999999999</v>
      </c>
      <c r="I25" s="192">
        <f>AVERAGE(H25:H27)</f>
        <v>0.48599999999999999</v>
      </c>
      <c r="J25" s="57">
        <f>H25-(F25-J17*F25)</f>
        <v>3.5054945395277204E-2</v>
      </c>
      <c r="K25" s="57">
        <f>J25-J22</f>
        <v>2.5031280117912225E-2</v>
      </c>
      <c r="L25" s="57">
        <f>K25/J22</f>
        <v>2.4972182754782137</v>
      </c>
      <c r="M25" s="82">
        <f>(J25-Q6)/Q13</f>
        <v>4.2700495690015865</v>
      </c>
      <c r="P25" s="1" t="s">
        <v>229</v>
      </c>
      <c r="Q25" s="1" t="s">
        <v>230</v>
      </c>
    </row>
    <row r="26" spans="1:32" ht="15.75" customHeight="1">
      <c r="A26" s="52"/>
      <c r="B26" s="191"/>
      <c r="C26" s="53">
        <v>15</v>
      </c>
      <c r="D26" s="54">
        <v>5</v>
      </c>
      <c r="E26" s="54">
        <v>0.95509999999999995</v>
      </c>
      <c r="F26" s="55">
        <f t="shared" ref="F26:F27" si="6">E26-E25</f>
        <v>0.47629999999999995</v>
      </c>
      <c r="G26" s="54">
        <v>0.96399999999999997</v>
      </c>
      <c r="H26" s="55">
        <f t="shared" ref="H26:H27" si="7">G26-G25</f>
        <v>0.47099999999999997</v>
      </c>
      <c r="I26" s="186"/>
      <c r="J26" s="83"/>
      <c r="K26" s="83"/>
      <c r="L26" s="83"/>
      <c r="M26" s="82"/>
      <c r="P26" s="1" t="s">
        <v>231</v>
      </c>
    </row>
    <row r="27" spans="1:32" ht="15.75" customHeight="1">
      <c r="A27" s="52"/>
      <c r="B27" s="191"/>
      <c r="C27" s="53">
        <v>15</v>
      </c>
      <c r="D27" s="54">
        <v>6</v>
      </c>
      <c r="E27" s="54">
        <v>1.4373</v>
      </c>
      <c r="F27" s="55">
        <f t="shared" si="6"/>
        <v>0.48220000000000007</v>
      </c>
      <c r="G27" s="54">
        <v>1.458</v>
      </c>
      <c r="H27" s="55">
        <f t="shared" si="7"/>
        <v>0.49399999999999999</v>
      </c>
      <c r="I27" s="186"/>
      <c r="J27" s="57">
        <f>H27-(F27-$J17*F27)</f>
        <v>3.2803038157064812E-2</v>
      </c>
      <c r="K27" s="57">
        <f>J27-J22</f>
        <v>2.2779372879699833E-2</v>
      </c>
      <c r="L27" s="57">
        <f>K27/J22</f>
        <v>2.2725592135582637</v>
      </c>
      <c r="M27" s="82">
        <f>K27/Q13</f>
        <v>3.4245788396795542</v>
      </c>
    </row>
    <row r="28" spans="1:32" ht="15.75" customHeight="1">
      <c r="A28" s="52"/>
      <c r="B28" s="191"/>
      <c r="C28" s="53">
        <v>30</v>
      </c>
      <c r="D28" s="54">
        <v>10</v>
      </c>
      <c r="E28" s="54">
        <v>0.47710000000000002</v>
      </c>
      <c r="F28" s="55">
        <f>E28</f>
        <v>0.47710000000000002</v>
      </c>
      <c r="G28" s="54">
        <v>0.48330000000000001</v>
      </c>
      <c r="H28" s="55">
        <f>G28</f>
        <v>0.48330000000000001</v>
      </c>
      <c r="I28" s="192">
        <f>AVERAGE(H28:H30)</f>
        <v>0.48496666666666671</v>
      </c>
      <c r="J28" s="57">
        <f>H28-(F28-J17*F28)</f>
        <v>2.698089901438333E-2</v>
      </c>
      <c r="K28" s="57">
        <f>J28-J22</f>
        <v>1.6957233737018351E-2</v>
      </c>
      <c r="L28" s="57">
        <f>K28/J22</f>
        <v>1.691719871703065</v>
      </c>
      <c r="M28" s="82">
        <f>K28/Q13</f>
        <v>2.5492968635253539</v>
      </c>
      <c r="P28" s="1" t="s">
        <v>232</v>
      </c>
    </row>
    <row r="29" spans="1:32" ht="15.75" customHeight="1">
      <c r="A29" s="52"/>
      <c r="B29" s="191"/>
      <c r="C29" s="53">
        <v>30</v>
      </c>
      <c r="D29" s="54">
        <v>11</v>
      </c>
      <c r="E29" s="54">
        <v>0.95599999999999996</v>
      </c>
      <c r="F29" s="55">
        <f t="shared" ref="F29:F30" si="8">E29-E28</f>
        <v>0.47889999999999994</v>
      </c>
      <c r="G29" s="54">
        <v>0.96950000000000003</v>
      </c>
      <c r="H29" s="55">
        <f t="shared" ref="H29:H30" si="9">G29-G28</f>
        <v>0.48620000000000002</v>
      </c>
      <c r="I29" s="186"/>
      <c r="J29" s="57">
        <f>H29-(F29-J17*F29)</f>
        <v>2.8159301064741626E-2</v>
      </c>
      <c r="K29" s="57">
        <f>J29-J22</f>
        <v>1.8135635787376647E-2</v>
      </c>
      <c r="L29" s="57">
        <f>K29/J22</f>
        <v>1.8092818630256717</v>
      </c>
      <c r="M29" s="82">
        <f>K29/Q13</f>
        <v>2.7264540990473356</v>
      </c>
      <c r="P29" s="1" t="s">
        <v>233</v>
      </c>
    </row>
    <row r="30" spans="1:32" ht="15.75" customHeight="1">
      <c r="A30" s="52"/>
      <c r="B30" s="191"/>
      <c r="C30" s="53">
        <v>30</v>
      </c>
      <c r="D30" s="54">
        <v>12</v>
      </c>
      <c r="E30" s="54">
        <v>1.4343999999999999</v>
      </c>
      <c r="F30" s="55">
        <f t="shared" si="8"/>
        <v>0.47839999999999994</v>
      </c>
      <c r="G30" s="54">
        <v>1.4549000000000001</v>
      </c>
      <c r="H30" s="55">
        <f t="shared" si="9"/>
        <v>0.48540000000000005</v>
      </c>
      <c r="I30" s="186"/>
      <c r="J30" s="57">
        <f>H30-(F30-J17*F30)</f>
        <v>2.7837522717419905E-2</v>
      </c>
      <c r="K30" s="57">
        <f>J30-J22</f>
        <v>1.7813857440054925E-2</v>
      </c>
      <c r="L30" s="57">
        <f>K30/J22</f>
        <v>1.7771799982468919</v>
      </c>
      <c r="M30" s="82">
        <f>K30/Q13</f>
        <v>2.6780789604899851</v>
      </c>
      <c r="P30" s="1" t="s">
        <v>234</v>
      </c>
    </row>
    <row r="31" spans="1:32" ht="15.75" customHeight="1">
      <c r="A31" s="52"/>
      <c r="B31" s="191"/>
      <c r="C31" s="53">
        <v>60</v>
      </c>
      <c r="D31" s="54">
        <v>13</v>
      </c>
      <c r="E31" s="54">
        <v>0.48449999999999999</v>
      </c>
      <c r="F31" s="55">
        <f>E31</f>
        <v>0.48449999999999999</v>
      </c>
      <c r="G31" s="54">
        <v>0.48749999999999999</v>
      </c>
      <c r="H31" s="54">
        <f>G31</f>
        <v>0.48749999999999999</v>
      </c>
      <c r="I31" s="83"/>
      <c r="J31" s="57">
        <f>H31-(F31-J17*F31)</f>
        <v>2.4103218554744787E-2</v>
      </c>
      <c r="K31" s="57">
        <f>J31-J22</f>
        <v>1.4079553277379808E-2</v>
      </c>
      <c r="L31" s="57">
        <f>K31/J22</f>
        <v>1.4046312289750602</v>
      </c>
      <c r="M31" s="82">
        <f>K31/Q13</f>
        <v>2.1166754888509098</v>
      </c>
      <c r="P31" s="1" t="s">
        <v>235</v>
      </c>
      <c r="R31" s="1" t="s">
        <v>746</v>
      </c>
      <c r="S31" s="1" t="s">
        <v>747</v>
      </c>
    </row>
    <row r="32" spans="1:32" ht="15.75" customHeight="1">
      <c r="A32" s="52"/>
      <c r="B32" s="191"/>
      <c r="C32" s="53">
        <v>60</v>
      </c>
      <c r="D32" s="54">
        <v>14</v>
      </c>
      <c r="E32" s="54">
        <v>0.96050000000000002</v>
      </c>
      <c r="F32" s="55">
        <f t="shared" ref="F32:F33" si="10">E32-E31</f>
        <v>0.47600000000000003</v>
      </c>
      <c r="G32" s="54">
        <v>0.96879999999999999</v>
      </c>
      <c r="H32" s="54">
        <f t="shared" ref="H32:H33" si="11">G32-G31</f>
        <v>0.48130000000000001</v>
      </c>
      <c r="I32" s="83"/>
      <c r="J32" s="57">
        <f>H32-(F32-J17*F32)</f>
        <v>2.6032986650275536E-2</v>
      </c>
      <c r="K32" s="57">
        <f>J32-J22</f>
        <v>1.6009321372910557E-2</v>
      </c>
      <c r="L32" s="57">
        <f>K32/J22</f>
        <v>1.5971524317618762</v>
      </c>
      <c r="M32" s="82">
        <f>K32/Q13</f>
        <v>2.4067907181131125</v>
      </c>
      <c r="P32" s="1" t="s">
        <v>236</v>
      </c>
    </row>
    <row r="33" spans="1:16" ht="15.75" customHeight="1">
      <c r="A33" s="52"/>
      <c r="B33" s="191"/>
      <c r="C33" s="53">
        <v>60</v>
      </c>
      <c r="D33" s="54">
        <v>15</v>
      </c>
      <c r="E33" s="54">
        <v>1.4482999999999999</v>
      </c>
      <c r="F33" s="55">
        <f t="shared" si="10"/>
        <v>0.4877999999999999</v>
      </c>
      <c r="G33" s="54">
        <v>1.4630000000000001</v>
      </c>
      <c r="H33" s="54">
        <f t="shared" si="11"/>
        <v>0.49420000000000008</v>
      </c>
      <c r="I33" s="83"/>
      <c r="J33" s="57">
        <f>H33-(F33-J17*F33)</f>
        <v>2.7646955647068316E-2</v>
      </c>
      <c r="K33" s="57">
        <f>J33-J22</f>
        <v>1.7623290369703337E-2</v>
      </c>
      <c r="L33" s="57">
        <f>K33/J22</f>
        <v>1.7581682829632701</v>
      </c>
      <c r="M33" s="82">
        <f>K33/Q13</f>
        <v>2.6494297101303599</v>
      </c>
      <c r="P33" s="84" t="s">
        <v>237</v>
      </c>
    </row>
    <row r="34" spans="1:16" ht="15.75" customHeight="1">
      <c r="A34" s="52"/>
      <c r="B34" s="191"/>
      <c r="C34" s="53">
        <v>90</v>
      </c>
      <c r="D34" s="54">
        <v>7</v>
      </c>
      <c r="E34" s="54">
        <v>0.47449999999999998</v>
      </c>
      <c r="F34" s="55">
        <f>E34</f>
        <v>0.47449999999999998</v>
      </c>
      <c r="G34" s="54">
        <v>0.4773</v>
      </c>
      <c r="H34" s="55">
        <f>G34</f>
        <v>0.4773</v>
      </c>
      <c r="I34" s="83"/>
      <c r="J34" s="57">
        <f>H34-(F34-J17*F34)</f>
        <v>2.3467651608310436E-2</v>
      </c>
      <c r="K34" s="57">
        <f>J34-J22</f>
        <v>1.3443986330945457E-2</v>
      </c>
      <c r="L34" s="57">
        <f>K34/J22</f>
        <v>1.3412245879063922</v>
      </c>
      <c r="M34" s="82">
        <f>K34/Q13</f>
        <v>2.0211263652006055</v>
      </c>
    </row>
    <row r="35" spans="1:16" ht="15.75" customHeight="1">
      <c r="A35" s="52"/>
      <c r="B35" s="191"/>
      <c r="C35" s="53">
        <v>90</v>
      </c>
      <c r="D35" s="54">
        <v>8</v>
      </c>
      <c r="E35" s="54">
        <v>0.9496</v>
      </c>
      <c r="F35" s="55">
        <f t="shared" ref="F35:F36" si="12">E35-E34</f>
        <v>0.47510000000000002</v>
      </c>
      <c r="G35" s="54">
        <v>0.95599999999999996</v>
      </c>
      <c r="H35" s="55">
        <f t="shared" ref="H35:H36" si="13">G35-G34</f>
        <v>0.47869999999999996</v>
      </c>
      <c r="I35" s="83"/>
      <c r="J35" s="57">
        <f>H35-(F35-J17*F35)</f>
        <v>2.4293785625096431E-2</v>
      </c>
      <c r="K35" s="57">
        <f>J35-J22</f>
        <v>1.4270120347731452E-2</v>
      </c>
      <c r="L35" s="57">
        <f>K35/J22</f>
        <v>1.4236429442586875</v>
      </c>
      <c r="M35" s="82">
        <f>K35/Q13</f>
        <v>2.1453247392105435</v>
      </c>
    </row>
    <row r="36" spans="1:16" ht="15.75" customHeight="1">
      <c r="A36" s="52"/>
      <c r="B36" s="193"/>
      <c r="C36" s="69">
        <v>90</v>
      </c>
      <c r="D36" s="70">
        <v>9</v>
      </c>
      <c r="E36" s="70">
        <v>1.4305000000000001</v>
      </c>
      <c r="F36" s="85">
        <f t="shared" si="12"/>
        <v>0.48090000000000011</v>
      </c>
      <c r="G36" s="70">
        <v>1.4411</v>
      </c>
      <c r="H36" s="85">
        <f t="shared" si="13"/>
        <v>0.48510000000000009</v>
      </c>
      <c r="I36" s="86"/>
      <c r="J36" s="87">
        <f>H36-(F36-J17*F36)</f>
        <v>2.5146414454028376E-2</v>
      </c>
      <c r="K36" s="87">
        <f>J36-J22</f>
        <v>1.5122749176663397E-2</v>
      </c>
      <c r="L36" s="87">
        <f>K36/J22</f>
        <v>1.5087045265580601</v>
      </c>
      <c r="M36" s="88">
        <f>K36/Q13</f>
        <v>2.2735062594429643</v>
      </c>
    </row>
    <row r="37" spans="1:16" ht="15.75" customHeight="1">
      <c r="A37" s="52"/>
      <c r="B37" s="52"/>
      <c r="C37" s="194">
        <v>120</v>
      </c>
      <c r="D37" s="11">
        <v>10</v>
      </c>
      <c r="E37" s="11"/>
      <c r="F37" s="89">
        <f>E37</f>
        <v>0</v>
      </c>
      <c r="G37" s="11"/>
      <c r="H37" s="89">
        <f>G37</f>
        <v>0</v>
      </c>
      <c r="I37" s="76"/>
      <c r="M37" s="9"/>
      <c r="N37" s="1"/>
    </row>
    <row r="38" spans="1:16" ht="15.75" customHeight="1">
      <c r="A38" s="52"/>
      <c r="B38" s="52"/>
      <c r="C38" s="186"/>
      <c r="D38" s="11">
        <v>11</v>
      </c>
      <c r="E38" s="11"/>
      <c r="F38" s="89">
        <f t="shared" ref="F38:F39" si="14">E38-E37</f>
        <v>0</v>
      </c>
      <c r="G38" s="11"/>
      <c r="H38" s="89">
        <f t="shared" ref="H38:H39" si="15">G38-G37</f>
        <v>0</v>
      </c>
      <c r="I38" s="76"/>
      <c r="M38" s="9"/>
      <c r="N38" s="1"/>
    </row>
    <row r="39" spans="1:16" ht="12.75">
      <c r="A39" s="52"/>
      <c r="B39" s="52"/>
      <c r="C39" s="186"/>
      <c r="D39" s="11">
        <v>12</v>
      </c>
      <c r="E39" s="11"/>
      <c r="F39" s="89">
        <f t="shared" si="14"/>
        <v>0</v>
      </c>
      <c r="G39" s="11"/>
      <c r="H39" s="89">
        <f t="shared" si="15"/>
        <v>0</v>
      </c>
      <c r="I39" s="76"/>
      <c r="M39" s="9"/>
      <c r="N39" s="1"/>
    </row>
    <row r="40" spans="1:16" ht="12.75">
      <c r="A40" s="52"/>
      <c r="B40" s="52"/>
      <c r="C40" s="194">
        <v>240</v>
      </c>
      <c r="D40" s="54">
        <v>7</v>
      </c>
      <c r="E40" s="54"/>
      <c r="F40" s="89">
        <f>E40</f>
        <v>0</v>
      </c>
      <c r="G40" s="76"/>
      <c r="H40" s="11">
        <f>G40</f>
        <v>0</v>
      </c>
      <c r="I40" s="76"/>
      <c r="M40" s="9"/>
      <c r="N40" s="1"/>
    </row>
    <row r="41" spans="1:16" ht="12.75">
      <c r="A41" s="52"/>
      <c r="B41" s="52"/>
      <c r="C41" s="186"/>
      <c r="D41" s="54">
        <v>8</v>
      </c>
      <c r="E41" s="54"/>
      <c r="F41" s="89">
        <f t="shared" ref="F41:F42" si="16">E41-E40</f>
        <v>0</v>
      </c>
      <c r="G41" s="76"/>
      <c r="H41" s="11">
        <f t="shared" ref="H41:H42" si="17">G41-G40</f>
        <v>0</v>
      </c>
      <c r="I41" s="76"/>
      <c r="J41" s="1"/>
      <c r="M41" s="9"/>
      <c r="N41" s="1"/>
    </row>
    <row r="42" spans="1:16" ht="12.75">
      <c r="A42" s="52"/>
      <c r="B42" s="52"/>
      <c r="C42" s="186"/>
      <c r="D42" s="54">
        <v>9</v>
      </c>
      <c r="E42" s="54"/>
      <c r="F42" s="89">
        <f t="shared" si="16"/>
        <v>0</v>
      </c>
      <c r="G42" s="76"/>
      <c r="H42" s="11">
        <f t="shared" si="17"/>
        <v>0</v>
      </c>
      <c r="I42" s="76"/>
      <c r="M42" s="9"/>
      <c r="N42" s="1"/>
    </row>
    <row r="43" spans="1:16" ht="12.75">
      <c r="A43" s="74"/>
      <c r="B43" s="30"/>
      <c r="C43" s="30"/>
      <c r="D43" s="30"/>
      <c r="E43" s="30"/>
      <c r="F43" s="90" t="s">
        <v>216</v>
      </c>
      <c r="M43" s="9"/>
      <c r="N43" s="1"/>
    </row>
    <row r="44" spans="1:16" ht="12.75">
      <c r="A44" s="74"/>
      <c r="B44" s="30"/>
      <c r="C44" s="30"/>
      <c r="D44" s="30"/>
      <c r="E44" s="30"/>
      <c r="F44" s="91">
        <f>AVERAGE(F14:F36)</f>
        <v>0.48050555555555552</v>
      </c>
      <c r="M44" s="9"/>
      <c r="N44" s="1"/>
    </row>
    <row r="45" spans="1:16" ht="12.75">
      <c r="A45" s="74"/>
      <c r="B45" s="30"/>
      <c r="C45" s="30"/>
      <c r="D45" s="30"/>
      <c r="E45" s="30"/>
      <c r="F45" s="90" t="s">
        <v>238</v>
      </c>
      <c r="M45" s="76"/>
    </row>
    <row r="46" spans="1:16" ht="12.75">
      <c r="A46" s="74"/>
      <c r="B46" s="30"/>
      <c r="C46" s="30"/>
      <c r="D46" s="30"/>
      <c r="E46" s="30"/>
      <c r="F46" s="92">
        <f>STDEV(F14:F36)</f>
        <v>5.7800338104264659E-3</v>
      </c>
      <c r="M46" s="76"/>
    </row>
    <row r="47" spans="1:16" ht="12.75">
      <c r="A47" s="74"/>
      <c r="B47" s="133" t="s">
        <v>239</v>
      </c>
      <c r="C47" s="133" t="s">
        <v>240</v>
      </c>
      <c r="D47" s="30"/>
      <c r="E47" s="30"/>
      <c r="M47" s="76"/>
    </row>
    <row r="48" spans="1:16" ht="12.75">
      <c r="A48" s="11" t="s">
        <v>241</v>
      </c>
      <c r="B48" s="133"/>
      <c r="C48" s="133"/>
      <c r="D48" s="133"/>
      <c r="E48" s="133" t="s">
        <v>244</v>
      </c>
      <c r="G48" s="133" t="s">
        <v>246</v>
      </c>
      <c r="M48" s="76"/>
    </row>
    <row r="49" spans="1:13" ht="12.75">
      <c r="A49" s="11" t="s">
        <v>247</v>
      </c>
      <c r="B49" s="133" t="s">
        <v>748</v>
      </c>
      <c r="C49" s="30"/>
      <c r="D49" s="133" t="s">
        <v>749</v>
      </c>
      <c r="E49" s="133" t="s">
        <v>244</v>
      </c>
      <c r="F49" s="1" t="s">
        <v>750</v>
      </c>
      <c r="G49" s="133" t="s">
        <v>246</v>
      </c>
      <c r="M49" s="76"/>
    </row>
    <row r="50" spans="1:13" ht="12.75">
      <c r="A50" s="74"/>
      <c r="B50" s="30"/>
      <c r="C50" s="30"/>
      <c r="D50" s="30"/>
      <c r="M50" s="76"/>
    </row>
    <row r="51" spans="1:13" ht="12.75">
      <c r="A51" s="74"/>
      <c r="B51" s="30"/>
      <c r="C51" s="30"/>
      <c r="D51" s="30"/>
      <c r="E51" s="30"/>
      <c r="M51" s="76"/>
    </row>
    <row r="52" spans="1:13" ht="12.75">
      <c r="A52" s="74"/>
      <c r="M52" s="76"/>
    </row>
    <row r="53" spans="1:13" ht="12.75">
      <c r="A53" s="74"/>
      <c r="M53" s="76"/>
    </row>
    <row r="54" spans="1:13" ht="12.75">
      <c r="A54" s="74"/>
      <c r="M54" s="76"/>
    </row>
    <row r="55" spans="1:13" ht="12.75">
      <c r="A55" s="74"/>
      <c r="E55" s="134"/>
      <c r="M55" s="76"/>
    </row>
    <row r="56" spans="1:13" ht="12.75">
      <c r="A56" s="74"/>
      <c r="E56" s="135"/>
      <c r="M56" s="76"/>
    </row>
    <row r="57" spans="1:13" ht="12.75">
      <c r="A57" s="74"/>
      <c r="E57" s="135"/>
      <c r="M57" s="76"/>
    </row>
    <row r="58" spans="1:13" ht="12.75">
      <c r="A58" s="74"/>
      <c r="E58" s="135"/>
      <c r="M58" s="76"/>
    </row>
    <row r="59" spans="1:13" ht="12.75">
      <c r="A59" s="74"/>
      <c r="E59" s="135"/>
      <c r="M59" s="76"/>
    </row>
    <row r="60" spans="1:13" ht="12.75">
      <c r="A60" s="74"/>
      <c r="B60" s="30"/>
      <c r="C60" s="30"/>
      <c r="D60" s="30"/>
      <c r="E60" s="135"/>
      <c r="M60" s="76"/>
    </row>
    <row r="61" spans="1:13" ht="12.75">
      <c r="A61" s="74"/>
      <c r="B61" s="30"/>
      <c r="C61" s="30"/>
      <c r="D61" s="30"/>
      <c r="E61" s="135"/>
      <c r="M61" s="76"/>
    </row>
    <row r="62" spans="1:13" ht="12.75">
      <c r="A62" s="74"/>
      <c r="B62" s="30"/>
      <c r="C62" s="30"/>
      <c r="D62" s="30"/>
      <c r="E62" s="135"/>
      <c r="M62" s="76"/>
    </row>
    <row r="63" spans="1:13" ht="12.75">
      <c r="A63" s="74"/>
      <c r="B63" s="30"/>
      <c r="C63" s="30"/>
      <c r="D63" s="30"/>
      <c r="E63" s="135"/>
      <c r="M63" s="76"/>
    </row>
    <row r="64" spans="1:13" ht="12.75">
      <c r="A64" s="74"/>
      <c r="B64" s="30"/>
      <c r="C64" s="30"/>
      <c r="D64" s="30"/>
      <c r="E64" s="135"/>
      <c r="M64" s="76"/>
    </row>
    <row r="65" spans="1:13" ht="12.75">
      <c r="A65" s="74"/>
      <c r="B65" s="30"/>
      <c r="C65" s="30"/>
      <c r="D65" s="30"/>
      <c r="E65" s="135"/>
      <c r="M65" s="76"/>
    </row>
    <row r="66" spans="1:13" ht="12.75">
      <c r="A66" s="74"/>
      <c r="B66" s="30"/>
      <c r="C66" s="30"/>
      <c r="D66" s="30"/>
      <c r="E66" s="135"/>
      <c r="M66" s="76"/>
    </row>
    <row r="67" spans="1:13" ht="12.75">
      <c r="A67" s="74"/>
      <c r="B67" s="30"/>
      <c r="C67" s="30"/>
      <c r="D67" s="30"/>
      <c r="E67" s="136"/>
      <c r="M67" s="76"/>
    </row>
    <row r="68" spans="1:13" ht="12.75">
      <c r="A68" s="74"/>
      <c r="B68" s="30"/>
      <c r="C68" s="30"/>
      <c r="D68" s="30"/>
      <c r="E68" s="30"/>
      <c r="M68" s="76"/>
    </row>
    <row r="69" spans="1:13" ht="12.75">
      <c r="A69" s="74"/>
      <c r="B69" s="30"/>
      <c r="C69" s="30"/>
      <c r="D69" s="30"/>
      <c r="E69" s="30"/>
      <c r="M69" s="76"/>
    </row>
    <row r="70" spans="1:13" ht="12.75">
      <c r="A70" s="74"/>
      <c r="B70" s="30"/>
      <c r="C70" s="30"/>
      <c r="D70" s="30"/>
      <c r="E70" s="30"/>
      <c r="M70" s="76"/>
    </row>
    <row r="71" spans="1:13" ht="12.75">
      <c r="A71" s="74"/>
      <c r="B71" s="30"/>
      <c r="C71" s="30"/>
      <c r="D71" s="30"/>
      <c r="E71" s="30"/>
      <c r="M71" s="76"/>
    </row>
    <row r="72" spans="1:13" ht="12.75">
      <c r="A72" s="74"/>
      <c r="B72" s="30"/>
      <c r="C72" s="30"/>
      <c r="D72" s="30"/>
      <c r="E72" s="30"/>
      <c r="M72" s="76"/>
    </row>
    <row r="73" spans="1:13" ht="12.75">
      <c r="A73" s="74"/>
      <c r="B73" s="30"/>
      <c r="C73" s="30"/>
      <c r="D73" s="30"/>
      <c r="E73" s="30"/>
      <c r="M73" s="76"/>
    </row>
    <row r="74" spans="1:13" ht="12.75">
      <c r="A74" s="74"/>
      <c r="B74" s="30"/>
      <c r="C74" s="30"/>
      <c r="D74" s="30"/>
      <c r="E74" s="30"/>
      <c r="M74" s="76"/>
    </row>
    <row r="75" spans="1:13" ht="12.75">
      <c r="A75" s="74"/>
      <c r="B75" s="30"/>
      <c r="C75" s="30"/>
      <c r="D75" s="30"/>
      <c r="E75" s="30"/>
      <c r="M75" s="76"/>
    </row>
    <row r="76" spans="1:13" ht="12.75">
      <c r="A76" s="74"/>
      <c r="B76" s="30"/>
      <c r="C76" s="30"/>
      <c r="D76" s="30"/>
      <c r="E76" s="30"/>
      <c r="M76" s="76"/>
    </row>
    <row r="77" spans="1:13" ht="12.75">
      <c r="A77" s="74"/>
      <c r="B77" s="30"/>
      <c r="C77" s="30"/>
      <c r="D77" s="30"/>
      <c r="E77" s="30"/>
      <c r="M77" s="76"/>
    </row>
    <row r="78" spans="1:13" ht="12.75">
      <c r="A78" s="74"/>
      <c r="B78" s="30"/>
      <c r="C78" s="30"/>
      <c r="D78" s="30"/>
      <c r="E78" s="30"/>
      <c r="M78" s="76"/>
    </row>
    <row r="79" spans="1:13" ht="12.75">
      <c r="A79" s="74"/>
      <c r="B79" s="30"/>
      <c r="C79" s="30"/>
      <c r="D79" s="30"/>
      <c r="E79" s="30"/>
      <c r="M79" s="76"/>
    </row>
    <row r="80" spans="1:13" ht="12.75">
      <c r="A80" s="74"/>
      <c r="B80" s="30"/>
      <c r="C80" s="30"/>
      <c r="D80" s="30"/>
      <c r="E80" s="30"/>
      <c r="M80" s="76"/>
    </row>
    <row r="81" spans="1:13" ht="12.75">
      <c r="A81" s="74"/>
      <c r="B81" s="30"/>
      <c r="C81" s="30"/>
      <c r="D81" s="30"/>
      <c r="E81" s="30"/>
      <c r="M81" s="76"/>
    </row>
    <row r="82" spans="1:13" ht="12.75">
      <c r="A82" s="74"/>
      <c r="B82" s="30"/>
      <c r="C82" s="30"/>
      <c r="D82" s="30"/>
      <c r="E82" s="30"/>
      <c r="M82" s="76"/>
    </row>
    <row r="83" spans="1:13" ht="12.75">
      <c r="A83" s="74"/>
      <c r="B83" s="30"/>
      <c r="C83" s="30"/>
      <c r="D83" s="30"/>
      <c r="E83" s="30"/>
      <c r="M83" s="76"/>
    </row>
    <row r="84" spans="1:13" ht="12.75">
      <c r="A84" s="74"/>
      <c r="B84" s="30"/>
      <c r="C84" s="30"/>
      <c r="D84" s="30"/>
      <c r="E84" s="30"/>
      <c r="M84" s="76"/>
    </row>
    <row r="85" spans="1:13" ht="12.75">
      <c r="A85" s="74"/>
      <c r="B85" s="30"/>
      <c r="C85" s="30"/>
      <c r="D85" s="30"/>
      <c r="E85" s="30"/>
      <c r="M85" s="76"/>
    </row>
    <row r="86" spans="1:13" ht="12.75">
      <c r="A86" s="74"/>
      <c r="B86" s="30"/>
      <c r="C86" s="30"/>
      <c r="D86" s="30"/>
      <c r="E86" s="30"/>
      <c r="M86" s="76"/>
    </row>
    <row r="87" spans="1:13" ht="12.75">
      <c r="A87" s="74"/>
      <c r="B87" s="30"/>
      <c r="C87" s="30"/>
      <c r="D87" s="30"/>
      <c r="E87" s="30"/>
      <c r="M87" s="76"/>
    </row>
    <row r="88" spans="1:13" ht="12.75">
      <c r="A88" s="74"/>
      <c r="B88" s="30"/>
      <c r="C88" s="30"/>
      <c r="D88" s="30"/>
      <c r="E88" s="30"/>
      <c r="M88" s="76"/>
    </row>
    <row r="89" spans="1:13" ht="12.75">
      <c r="A89" s="74"/>
      <c r="B89" s="30"/>
      <c r="C89" s="30"/>
      <c r="D89" s="30"/>
      <c r="E89" s="30"/>
      <c r="M89" s="76"/>
    </row>
    <row r="90" spans="1:13" ht="12.75">
      <c r="A90" s="74"/>
      <c r="B90" s="30"/>
      <c r="C90" s="30"/>
      <c r="D90" s="30"/>
      <c r="E90" s="30"/>
      <c r="M90" s="76"/>
    </row>
    <row r="91" spans="1:13" ht="12.75">
      <c r="A91" s="74"/>
      <c r="B91" s="30"/>
      <c r="C91" s="30"/>
      <c r="D91" s="30"/>
      <c r="E91" s="30"/>
      <c r="M91" s="76"/>
    </row>
    <row r="92" spans="1:13" ht="12.75">
      <c r="A92" s="74"/>
      <c r="B92" s="30"/>
      <c r="C92" s="30"/>
      <c r="D92" s="30"/>
      <c r="E92" s="30"/>
      <c r="M92" s="76"/>
    </row>
    <row r="93" spans="1:13" ht="12.75">
      <c r="A93" s="74"/>
      <c r="B93" s="30"/>
      <c r="C93" s="30"/>
      <c r="D93" s="30"/>
      <c r="E93" s="30"/>
      <c r="M93" s="76"/>
    </row>
    <row r="94" spans="1:13" ht="12.75">
      <c r="A94" s="74"/>
      <c r="B94" s="30"/>
      <c r="C94" s="30"/>
      <c r="D94" s="30"/>
      <c r="E94" s="30"/>
      <c r="M94" s="76"/>
    </row>
    <row r="95" spans="1:13" ht="12.75">
      <c r="A95" s="74"/>
      <c r="B95" s="30"/>
      <c r="C95" s="30"/>
      <c r="D95" s="30"/>
      <c r="E95" s="30"/>
      <c r="M95" s="76"/>
    </row>
    <row r="96" spans="1:13" ht="12.75">
      <c r="A96" s="74"/>
      <c r="B96" s="30"/>
      <c r="C96" s="30"/>
      <c r="D96" s="30"/>
      <c r="E96" s="30"/>
      <c r="M96" s="76"/>
    </row>
    <row r="97" spans="1:13" ht="12.75">
      <c r="A97" s="74"/>
      <c r="B97" s="30"/>
      <c r="C97" s="30"/>
      <c r="D97" s="30"/>
      <c r="E97" s="30"/>
      <c r="M97" s="76"/>
    </row>
    <row r="98" spans="1:13" ht="12.75">
      <c r="A98" s="74"/>
      <c r="B98" s="30"/>
      <c r="C98" s="30"/>
      <c r="D98" s="30"/>
      <c r="E98" s="30"/>
      <c r="M98" s="76"/>
    </row>
    <row r="99" spans="1:13" ht="12.75">
      <c r="A99" s="74"/>
      <c r="B99" s="30"/>
      <c r="C99" s="30"/>
      <c r="D99" s="30"/>
      <c r="E99" s="30"/>
      <c r="M99" s="76"/>
    </row>
    <row r="100" spans="1:13" ht="12.75">
      <c r="A100" s="74"/>
      <c r="B100" s="30"/>
      <c r="C100" s="30"/>
      <c r="D100" s="30"/>
      <c r="E100" s="30"/>
      <c r="M100" s="76"/>
    </row>
    <row r="101" spans="1:13" ht="12.75">
      <c r="A101" s="74"/>
      <c r="B101" s="30"/>
      <c r="C101" s="30"/>
      <c r="D101" s="30"/>
      <c r="E101" s="30"/>
      <c r="M101" s="76"/>
    </row>
    <row r="102" spans="1:13" ht="12.75">
      <c r="A102" s="74"/>
      <c r="B102" s="30"/>
      <c r="C102" s="30"/>
      <c r="D102" s="30"/>
      <c r="E102" s="30"/>
      <c r="M102" s="76"/>
    </row>
    <row r="103" spans="1:13" ht="12.75">
      <c r="A103" s="74"/>
      <c r="B103" s="30"/>
      <c r="C103" s="30"/>
      <c r="D103" s="30"/>
      <c r="E103" s="30"/>
      <c r="M103" s="76"/>
    </row>
    <row r="104" spans="1:13" ht="12.75">
      <c r="A104" s="74"/>
      <c r="B104" s="30"/>
      <c r="C104" s="30"/>
      <c r="D104" s="30"/>
      <c r="E104" s="30"/>
      <c r="M104" s="76"/>
    </row>
    <row r="105" spans="1:13" ht="12.75">
      <c r="A105" s="74"/>
      <c r="B105" s="30"/>
      <c r="C105" s="30"/>
      <c r="D105" s="30"/>
      <c r="E105" s="30"/>
      <c r="M105" s="76"/>
    </row>
    <row r="106" spans="1:13" ht="12.75">
      <c r="A106" s="74"/>
      <c r="B106" s="30"/>
      <c r="C106" s="30"/>
      <c r="D106" s="30"/>
      <c r="E106" s="30"/>
      <c r="M106" s="76"/>
    </row>
    <row r="107" spans="1:13" ht="12.75">
      <c r="A107" s="74"/>
      <c r="B107" s="30"/>
      <c r="C107" s="30"/>
      <c r="D107" s="30"/>
      <c r="E107" s="30"/>
      <c r="M107" s="76"/>
    </row>
    <row r="108" spans="1:13" ht="12.75">
      <c r="A108" s="74"/>
      <c r="B108" s="30"/>
      <c r="C108" s="30"/>
      <c r="D108" s="30"/>
      <c r="E108" s="30"/>
      <c r="M108" s="76"/>
    </row>
    <row r="109" spans="1:13" ht="12.75">
      <c r="A109" s="74"/>
      <c r="B109" s="30"/>
      <c r="C109" s="30"/>
      <c r="D109" s="30"/>
      <c r="E109" s="30"/>
      <c r="M109" s="76"/>
    </row>
    <row r="110" spans="1:13" ht="12.75">
      <c r="A110" s="74"/>
      <c r="B110" s="30"/>
      <c r="C110" s="30"/>
      <c r="D110" s="30"/>
      <c r="E110" s="30"/>
      <c r="M110" s="76"/>
    </row>
    <row r="111" spans="1:13" ht="12.75">
      <c r="A111" s="74"/>
      <c r="B111" s="30"/>
      <c r="C111" s="30"/>
      <c r="D111" s="30"/>
      <c r="E111" s="30"/>
      <c r="M111" s="76"/>
    </row>
    <row r="112" spans="1:13" ht="12.75">
      <c r="A112" s="74"/>
      <c r="B112" s="30"/>
      <c r="C112" s="30"/>
      <c r="D112" s="30"/>
      <c r="E112" s="30"/>
      <c r="M112" s="76"/>
    </row>
    <row r="113" spans="1:13" ht="12.75">
      <c r="A113" s="74"/>
      <c r="B113" s="30"/>
      <c r="C113" s="30"/>
      <c r="D113" s="30"/>
      <c r="E113" s="30"/>
      <c r="M113" s="76"/>
    </row>
    <row r="114" spans="1:13" ht="12.75">
      <c r="A114" s="74"/>
      <c r="B114" s="30"/>
      <c r="C114" s="30"/>
      <c r="D114" s="30"/>
      <c r="E114" s="30"/>
      <c r="M114" s="76"/>
    </row>
    <row r="115" spans="1:13" ht="12.75">
      <c r="A115" s="74"/>
      <c r="B115" s="30"/>
      <c r="C115" s="30"/>
      <c r="D115" s="30"/>
      <c r="E115" s="30"/>
      <c r="M115" s="76"/>
    </row>
    <row r="116" spans="1:13" ht="12.75">
      <c r="A116" s="74"/>
      <c r="B116" s="30"/>
      <c r="C116" s="30"/>
      <c r="D116" s="30"/>
      <c r="E116" s="30"/>
      <c r="M116" s="76"/>
    </row>
    <row r="117" spans="1:13" ht="12.75">
      <c r="A117" s="74"/>
      <c r="B117" s="30"/>
      <c r="C117" s="30"/>
      <c r="D117" s="30"/>
      <c r="E117" s="30"/>
      <c r="M117" s="76"/>
    </row>
    <row r="118" spans="1:13" ht="12.75">
      <c r="A118" s="74"/>
      <c r="B118" s="30"/>
      <c r="C118" s="30"/>
      <c r="D118" s="30"/>
      <c r="E118" s="30"/>
      <c r="M118" s="76"/>
    </row>
    <row r="119" spans="1:13" ht="12.75">
      <c r="A119" s="74"/>
      <c r="B119" s="30"/>
      <c r="C119" s="30"/>
      <c r="D119" s="30"/>
      <c r="E119" s="30"/>
      <c r="M119" s="76"/>
    </row>
    <row r="120" spans="1:13" ht="12.75">
      <c r="A120" s="74"/>
      <c r="B120" s="30"/>
      <c r="C120" s="30"/>
      <c r="D120" s="30"/>
      <c r="E120" s="30"/>
      <c r="M120" s="76"/>
    </row>
    <row r="121" spans="1:13" ht="12.75">
      <c r="A121" s="74"/>
      <c r="B121" s="30"/>
      <c r="C121" s="30"/>
      <c r="D121" s="30"/>
      <c r="E121" s="30"/>
      <c r="M121" s="76"/>
    </row>
    <row r="122" spans="1:13" ht="12.75">
      <c r="A122" s="74"/>
      <c r="B122" s="30"/>
      <c r="C122" s="30"/>
      <c r="D122" s="30"/>
      <c r="E122" s="30"/>
      <c r="M122" s="76"/>
    </row>
    <row r="123" spans="1:13" ht="12.75">
      <c r="A123" s="74"/>
      <c r="B123" s="30"/>
      <c r="C123" s="30"/>
      <c r="D123" s="30"/>
      <c r="E123" s="30"/>
      <c r="M123" s="76"/>
    </row>
    <row r="124" spans="1:13" ht="12.75">
      <c r="A124" s="74"/>
      <c r="B124" s="30"/>
      <c r="C124" s="30"/>
      <c r="D124" s="30"/>
      <c r="E124" s="30"/>
      <c r="M124" s="76"/>
    </row>
    <row r="125" spans="1:13" ht="12.75">
      <c r="A125" s="74"/>
      <c r="B125" s="30"/>
      <c r="C125" s="30"/>
      <c r="D125" s="30"/>
      <c r="E125" s="30"/>
      <c r="M125" s="76"/>
    </row>
    <row r="126" spans="1:13" ht="12.75">
      <c r="A126" s="74"/>
      <c r="B126" s="30"/>
      <c r="C126" s="30"/>
      <c r="D126" s="30"/>
      <c r="E126" s="30"/>
      <c r="M126" s="76"/>
    </row>
    <row r="127" spans="1:13" ht="12.75">
      <c r="A127" s="74"/>
      <c r="B127" s="30"/>
      <c r="C127" s="30"/>
      <c r="D127" s="30"/>
      <c r="E127" s="30"/>
      <c r="M127" s="76"/>
    </row>
    <row r="128" spans="1:13" ht="12.75">
      <c r="A128" s="74"/>
      <c r="B128" s="30"/>
      <c r="C128" s="30"/>
      <c r="D128" s="30"/>
      <c r="E128" s="30"/>
      <c r="M128" s="76"/>
    </row>
    <row r="129" spans="1:13" ht="12.75">
      <c r="A129" s="74"/>
      <c r="B129" s="30"/>
      <c r="C129" s="30"/>
      <c r="D129" s="30"/>
      <c r="E129" s="30"/>
      <c r="M129" s="76"/>
    </row>
    <row r="130" spans="1:13" ht="12.75">
      <c r="A130" s="74"/>
      <c r="B130" s="30"/>
      <c r="C130" s="30"/>
      <c r="D130" s="30"/>
      <c r="E130" s="30"/>
      <c r="M130" s="76"/>
    </row>
    <row r="131" spans="1:13" ht="12.75">
      <c r="A131" s="74"/>
      <c r="B131" s="30"/>
      <c r="C131" s="30"/>
      <c r="D131" s="30"/>
      <c r="E131" s="30"/>
      <c r="M131" s="76"/>
    </row>
    <row r="132" spans="1:13" ht="12.75">
      <c r="A132" s="74"/>
      <c r="B132" s="30"/>
      <c r="C132" s="30"/>
      <c r="D132" s="30"/>
      <c r="E132" s="30"/>
      <c r="M132" s="76"/>
    </row>
    <row r="133" spans="1:13" ht="12.75">
      <c r="A133" s="74"/>
      <c r="B133" s="30"/>
      <c r="C133" s="30"/>
      <c r="D133" s="30"/>
      <c r="E133" s="30"/>
      <c r="M133" s="76"/>
    </row>
    <row r="134" spans="1:13" ht="12.75">
      <c r="A134" s="74"/>
      <c r="B134" s="30"/>
      <c r="C134" s="30"/>
      <c r="D134" s="30"/>
      <c r="E134" s="30"/>
      <c r="M134" s="76"/>
    </row>
    <row r="135" spans="1:13" ht="12.75">
      <c r="A135" s="74"/>
      <c r="B135" s="30"/>
      <c r="C135" s="30"/>
      <c r="D135" s="30"/>
      <c r="E135" s="30"/>
      <c r="M135" s="76"/>
    </row>
    <row r="136" spans="1:13" ht="12.75">
      <c r="A136" s="74"/>
      <c r="B136" s="30"/>
      <c r="C136" s="30"/>
      <c r="D136" s="30"/>
      <c r="E136" s="30"/>
      <c r="M136" s="76"/>
    </row>
    <row r="137" spans="1:13" ht="12.75">
      <c r="A137" s="74"/>
      <c r="B137" s="30"/>
      <c r="C137" s="30"/>
      <c r="D137" s="30"/>
      <c r="E137" s="30"/>
      <c r="M137" s="76"/>
    </row>
    <row r="138" spans="1:13" ht="12.75">
      <c r="A138" s="74"/>
      <c r="B138" s="30"/>
      <c r="C138" s="30"/>
      <c r="D138" s="30"/>
      <c r="E138" s="30"/>
      <c r="M138" s="76"/>
    </row>
    <row r="139" spans="1:13" ht="12.75">
      <c r="A139" s="74"/>
      <c r="B139" s="30"/>
      <c r="C139" s="30"/>
      <c r="D139" s="30"/>
      <c r="E139" s="30"/>
      <c r="M139" s="76"/>
    </row>
    <row r="140" spans="1:13" ht="12.75">
      <c r="A140" s="74"/>
      <c r="B140" s="30"/>
      <c r="C140" s="30"/>
      <c r="D140" s="30"/>
      <c r="E140" s="30"/>
      <c r="M140" s="76"/>
    </row>
    <row r="141" spans="1:13" ht="12.75">
      <c r="A141" s="74"/>
      <c r="B141" s="30"/>
      <c r="C141" s="30"/>
      <c r="D141" s="30"/>
      <c r="E141" s="30"/>
      <c r="M141" s="76"/>
    </row>
    <row r="142" spans="1:13" ht="12.75">
      <c r="A142" s="74"/>
      <c r="B142" s="30"/>
      <c r="C142" s="30"/>
      <c r="D142" s="30"/>
      <c r="E142" s="30"/>
      <c r="M142" s="76"/>
    </row>
    <row r="143" spans="1:13" ht="12.75">
      <c r="A143" s="74"/>
      <c r="B143" s="30"/>
      <c r="C143" s="30"/>
      <c r="D143" s="30"/>
      <c r="E143" s="30"/>
      <c r="M143" s="76"/>
    </row>
    <row r="144" spans="1:13" ht="12.75">
      <c r="A144" s="74"/>
      <c r="B144" s="30"/>
      <c r="C144" s="30"/>
      <c r="D144" s="30"/>
      <c r="E144" s="30"/>
      <c r="M144" s="76"/>
    </row>
    <row r="145" spans="1:13" ht="12.75">
      <c r="A145" s="74"/>
      <c r="B145" s="30"/>
      <c r="C145" s="30"/>
      <c r="D145" s="30"/>
      <c r="E145" s="30"/>
      <c r="M145" s="76"/>
    </row>
    <row r="146" spans="1:13" ht="12.75">
      <c r="A146" s="74"/>
      <c r="B146" s="30"/>
      <c r="C146" s="30"/>
      <c r="D146" s="30"/>
      <c r="E146" s="30"/>
      <c r="M146" s="76"/>
    </row>
    <row r="147" spans="1:13" ht="12.75">
      <c r="A147" s="74"/>
      <c r="B147" s="30"/>
      <c r="C147" s="30"/>
      <c r="D147" s="30"/>
      <c r="E147" s="30"/>
      <c r="M147" s="76"/>
    </row>
    <row r="148" spans="1:13" ht="12.75">
      <c r="A148" s="74"/>
      <c r="B148" s="30"/>
      <c r="C148" s="30"/>
      <c r="D148" s="30"/>
      <c r="E148" s="30"/>
      <c r="M148" s="76"/>
    </row>
    <row r="149" spans="1:13" ht="12.75">
      <c r="A149" s="74"/>
      <c r="B149" s="30"/>
      <c r="C149" s="30"/>
      <c r="D149" s="30"/>
      <c r="E149" s="30"/>
      <c r="M149" s="76"/>
    </row>
    <row r="150" spans="1:13" ht="12.75">
      <c r="A150" s="74"/>
      <c r="B150" s="30"/>
      <c r="C150" s="30"/>
      <c r="D150" s="30"/>
      <c r="E150" s="30"/>
      <c r="M150" s="76"/>
    </row>
    <row r="151" spans="1:13" ht="12.75">
      <c r="A151" s="74"/>
      <c r="B151" s="30"/>
      <c r="C151" s="30"/>
      <c r="D151" s="30"/>
      <c r="E151" s="30"/>
      <c r="M151" s="76"/>
    </row>
    <row r="152" spans="1:13" ht="12.75">
      <c r="A152" s="74"/>
      <c r="B152" s="30"/>
      <c r="C152" s="30"/>
      <c r="D152" s="30"/>
      <c r="E152" s="30"/>
      <c r="M152" s="76"/>
    </row>
    <row r="153" spans="1:13" ht="12.75">
      <c r="A153" s="74"/>
      <c r="B153" s="30"/>
      <c r="C153" s="30"/>
      <c r="D153" s="30"/>
      <c r="E153" s="30"/>
      <c r="M153" s="76"/>
    </row>
    <row r="154" spans="1:13" ht="12.75">
      <c r="A154" s="74"/>
      <c r="B154" s="30"/>
      <c r="C154" s="30"/>
      <c r="D154" s="30"/>
      <c r="E154" s="30"/>
      <c r="M154" s="76"/>
    </row>
    <row r="155" spans="1:13" ht="12.75">
      <c r="A155" s="74"/>
      <c r="B155" s="30"/>
      <c r="C155" s="30"/>
      <c r="D155" s="30"/>
      <c r="E155" s="30"/>
      <c r="M155" s="76"/>
    </row>
    <row r="156" spans="1:13" ht="12.75">
      <c r="A156" s="74"/>
      <c r="B156" s="30"/>
      <c r="C156" s="30"/>
      <c r="D156" s="30"/>
      <c r="E156" s="30"/>
      <c r="M156" s="76"/>
    </row>
    <row r="157" spans="1:13" ht="12.75">
      <c r="A157" s="74"/>
      <c r="B157" s="30"/>
      <c r="C157" s="30"/>
      <c r="D157" s="30"/>
      <c r="E157" s="30"/>
      <c r="M157" s="76"/>
    </row>
    <row r="158" spans="1:13" ht="12.75">
      <c r="A158" s="74"/>
      <c r="B158" s="30"/>
      <c r="C158" s="30"/>
      <c r="D158" s="30"/>
      <c r="E158" s="30"/>
      <c r="M158" s="76"/>
    </row>
    <row r="159" spans="1:13" ht="12.75">
      <c r="A159" s="74"/>
      <c r="B159" s="30"/>
      <c r="C159" s="30"/>
      <c r="D159" s="30"/>
      <c r="E159" s="30"/>
      <c r="M159" s="76"/>
    </row>
    <row r="160" spans="1:13" ht="12.75">
      <c r="A160" s="74"/>
      <c r="B160" s="30"/>
      <c r="C160" s="30"/>
      <c r="D160" s="30"/>
      <c r="E160" s="30"/>
      <c r="M160" s="76"/>
    </row>
    <row r="161" spans="1:13" ht="12.75">
      <c r="A161" s="74"/>
      <c r="B161" s="30"/>
      <c r="C161" s="30"/>
      <c r="D161" s="30"/>
      <c r="E161" s="30"/>
      <c r="M161" s="76"/>
    </row>
    <row r="162" spans="1:13" ht="12.75">
      <c r="A162" s="74"/>
      <c r="B162" s="30"/>
      <c r="C162" s="30"/>
      <c r="D162" s="30"/>
      <c r="E162" s="30"/>
      <c r="M162" s="76"/>
    </row>
    <row r="163" spans="1:13" ht="12.75">
      <c r="A163" s="74"/>
      <c r="B163" s="30"/>
      <c r="C163" s="30"/>
      <c r="D163" s="30"/>
      <c r="E163" s="30"/>
      <c r="M163" s="76"/>
    </row>
    <row r="164" spans="1:13" ht="12.75">
      <c r="A164" s="74"/>
      <c r="B164" s="30"/>
      <c r="C164" s="30"/>
      <c r="D164" s="30"/>
      <c r="E164" s="30"/>
      <c r="M164" s="76"/>
    </row>
    <row r="165" spans="1:13" ht="12.75">
      <c r="A165" s="74"/>
      <c r="B165" s="30"/>
      <c r="C165" s="30"/>
      <c r="D165" s="30"/>
      <c r="E165" s="30"/>
      <c r="M165" s="76"/>
    </row>
    <row r="166" spans="1:13" ht="12.75">
      <c r="A166" s="74"/>
      <c r="B166" s="30"/>
      <c r="C166" s="30"/>
      <c r="D166" s="30"/>
      <c r="E166" s="30"/>
      <c r="M166" s="76"/>
    </row>
    <row r="167" spans="1:13" ht="12.75">
      <c r="A167" s="74"/>
      <c r="B167" s="30"/>
      <c r="C167" s="30"/>
      <c r="D167" s="30"/>
      <c r="E167" s="30"/>
      <c r="M167" s="76"/>
    </row>
    <row r="168" spans="1:13" ht="12.75">
      <c r="A168" s="74"/>
      <c r="B168" s="30"/>
      <c r="C168" s="30"/>
      <c r="D168" s="30"/>
      <c r="E168" s="30"/>
      <c r="M168" s="76"/>
    </row>
    <row r="169" spans="1:13" ht="12.75">
      <c r="A169" s="74"/>
      <c r="B169" s="30"/>
      <c r="C169" s="30"/>
      <c r="D169" s="30"/>
      <c r="E169" s="30"/>
      <c r="M169" s="76"/>
    </row>
    <row r="170" spans="1:13" ht="12.75">
      <c r="A170" s="74"/>
      <c r="B170" s="30"/>
      <c r="C170" s="30"/>
      <c r="D170" s="30"/>
      <c r="E170" s="30"/>
      <c r="M170" s="76"/>
    </row>
    <row r="171" spans="1:13" ht="12.75">
      <c r="A171" s="74"/>
      <c r="B171" s="30"/>
      <c r="C171" s="30"/>
      <c r="D171" s="30"/>
      <c r="E171" s="30"/>
      <c r="M171" s="76"/>
    </row>
    <row r="172" spans="1:13" ht="12.75">
      <c r="A172" s="74"/>
      <c r="B172" s="30"/>
      <c r="C172" s="30"/>
      <c r="D172" s="30"/>
      <c r="E172" s="30"/>
      <c r="M172" s="76"/>
    </row>
    <row r="173" spans="1:13" ht="12.75">
      <c r="A173" s="74"/>
      <c r="B173" s="30"/>
      <c r="C173" s="30"/>
      <c r="D173" s="30"/>
      <c r="E173" s="30"/>
      <c r="M173" s="76"/>
    </row>
    <row r="174" spans="1:13" ht="12.75">
      <c r="A174" s="74"/>
      <c r="B174" s="30"/>
      <c r="C174" s="30"/>
      <c r="D174" s="30"/>
      <c r="E174" s="30"/>
      <c r="M174" s="76"/>
    </row>
    <row r="175" spans="1:13" ht="12.75">
      <c r="A175" s="74"/>
      <c r="B175" s="30"/>
      <c r="C175" s="30"/>
      <c r="D175" s="30"/>
      <c r="E175" s="30"/>
      <c r="M175" s="76"/>
    </row>
    <row r="176" spans="1:13" ht="12.75">
      <c r="A176" s="74"/>
      <c r="B176" s="30"/>
      <c r="C176" s="30"/>
      <c r="D176" s="30"/>
      <c r="E176" s="30"/>
      <c r="M176" s="76"/>
    </row>
    <row r="177" spans="1:13" ht="12.75">
      <c r="A177" s="74"/>
      <c r="B177" s="30"/>
      <c r="C177" s="30"/>
      <c r="D177" s="30"/>
      <c r="E177" s="30"/>
      <c r="M177" s="76"/>
    </row>
    <row r="178" spans="1:13" ht="12.75">
      <c r="A178" s="74"/>
      <c r="B178" s="30"/>
      <c r="C178" s="30"/>
      <c r="D178" s="30"/>
      <c r="E178" s="30"/>
      <c r="M178" s="76"/>
    </row>
    <row r="179" spans="1:13" ht="12.75">
      <c r="A179" s="74"/>
      <c r="B179" s="30"/>
      <c r="C179" s="30"/>
      <c r="D179" s="30"/>
      <c r="E179" s="30"/>
      <c r="M179" s="76"/>
    </row>
    <row r="180" spans="1:13" ht="12.75">
      <c r="A180" s="74"/>
      <c r="B180" s="30"/>
      <c r="C180" s="30"/>
      <c r="D180" s="30"/>
      <c r="E180" s="30"/>
      <c r="M180" s="76"/>
    </row>
    <row r="181" spans="1:13" ht="12.75">
      <c r="A181" s="74"/>
      <c r="B181" s="30"/>
      <c r="C181" s="30"/>
      <c r="D181" s="30"/>
      <c r="E181" s="30"/>
      <c r="M181" s="76"/>
    </row>
    <row r="182" spans="1:13" ht="12.75">
      <c r="A182" s="74"/>
      <c r="B182" s="30"/>
      <c r="C182" s="30"/>
      <c r="D182" s="30"/>
      <c r="E182" s="30"/>
      <c r="M182" s="76"/>
    </row>
    <row r="183" spans="1:13" ht="12.75">
      <c r="A183" s="74"/>
      <c r="B183" s="30"/>
      <c r="C183" s="30"/>
      <c r="D183" s="30"/>
      <c r="E183" s="30"/>
      <c r="M183" s="76"/>
    </row>
    <row r="184" spans="1:13" ht="12.75">
      <c r="A184" s="74"/>
      <c r="B184" s="30"/>
      <c r="C184" s="30"/>
      <c r="D184" s="30"/>
      <c r="E184" s="30"/>
      <c r="M184" s="76"/>
    </row>
    <row r="185" spans="1:13" ht="12.75">
      <c r="A185" s="74"/>
      <c r="B185" s="30"/>
      <c r="C185" s="30"/>
      <c r="D185" s="30"/>
      <c r="E185" s="30"/>
      <c r="M185" s="76"/>
    </row>
    <row r="186" spans="1:13" ht="12.75">
      <c r="A186" s="74"/>
      <c r="B186" s="30"/>
      <c r="C186" s="30"/>
      <c r="D186" s="30"/>
      <c r="E186" s="30"/>
      <c r="M186" s="76"/>
    </row>
    <row r="187" spans="1:13" ht="12.75">
      <c r="A187" s="74"/>
      <c r="B187" s="30"/>
      <c r="C187" s="30"/>
      <c r="D187" s="30"/>
      <c r="E187" s="30"/>
      <c r="M187" s="76"/>
    </row>
    <row r="188" spans="1:13" ht="12.75">
      <c r="A188" s="74"/>
      <c r="B188" s="30"/>
      <c r="C188" s="30"/>
      <c r="D188" s="30"/>
      <c r="E188" s="30"/>
      <c r="M188" s="76"/>
    </row>
    <row r="189" spans="1:13" ht="12.75">
      <c r="A189" s="74"/>
      <c r="B189" s="30"/>
      <c r="C189" s="30"/>
      <c r="D189" s="30"/>
      <c r="E189" s="30"/>
      <c r="M189" s="76"/>
    </row>
    <row r="190" spans="1:13" ht="12.75">
      <c r="A190" s="74"/>
      <c r="B190" s="30"/>
      <c r="C190" s="30"/>
      <c r="D190" s="30"/>
      <c r="E190" s="30"/>
      <c r="M190" s="76"/>
    </row>
    <row r="191" spans="1:13" ht="12.75">
      <c r="A191" s="74"/>
      <c r="B191" s="30"/>
      <c r="C191" s="30"/>
      <c r="D191" s="30"/>
      <c r="E191" s="30"/>
      <c r="M191" s="76"/>
    </row>
    <row r="192" spans="1:13" ht="12.75">
      <c r="A192" s="74"/>
      <c r="B192" s="30"/>
      <c r="C192" s="30"/>
      <c r="D192" s="30"/>
      <c r="E192" s="30"/>
      <c r="M192" s="76"/>
    </row>
    <row r="193" spans="1:13" ht="12.75">
      <c r="A193" s="74"/>
      <c r="B193" s="30"/>
      <c r="C193" s="30"/>
      <c r="D193" s="30"/>
      <c r="E193" s="30"/>
      <c r="M193" s="76"/>
    </row>
    <row r="194" spans="1:13" ht="12.75">
      <c r="A194" s="74"/>
      <c r="B194" s="30"/>
      <c r="C194" s="30"/>
      <c r="D194" s="30"/>
      <c r="E194" s="30"/>
      <c r="M194" s="76"/>
    </row>
    <row r="195" spans="1:13" ht="12.75">
      <c r="A195" s="74"/>
      <c r="B195" s="30"/>
      <c r="C195" s="30"/>
      <c r="D195" s="30"/>
      <c r="E195" s="30"/>
      <c r="M195" s="76"/>
    </row>
    <row r="196" spans="1:13" ht="12.75">
      <c r="A196" s="74"/>
      <c r="B196" s="30"/>
      <c r="C196" s="30"/>
      <c r="D196" s="30"/>
      <c r="E196" s="30"/>
      <c r="M196" s="76"/>
    </row>
    <row r="197" spans="1:13" ht="12.75">
      <c r="A197" s="74"/>
      <c r="B197" s="30"/>
      <c r="C197" s="30"/>
      <c r="D197" s="30"/>
      <c r="E197" s="30"/>
      <c r="M197" s="76"/>
    </row>
    <row r="198" spans="1:13" ht="12.75">
      <c r="A198" s="74"/>
      <c r="B198" s="30"/>
      <c r="C198" s="30"/>
      <c r="D198" s="30"/>
      <c r="E198" s="30"/>
      <c r="M198" s="76"/>
    </row>
    <row r="199" spans="1:13" ht="12.75">
      <c r="A199" s="74"/>
      <c r="B199" s="30"/>
      <c r="C199" s="30"/>
      <c r="D199" s="30"/>
      <c r="E199" s="30"/>
      <c r="M199" s="76"/>
    </row>
    <row r="200" spans="1:13" ht="12.75">
      <c r="A200" s="74"/>
      <c r="B200" s="30"/>
      <c r="C200" s="30"/>
      <c r="D200" s="30"/>
      <c r="E200" s="30"/>
      <c r="M200" s="76"/>
    </row>
    <row r="201" spans="1:13" ht="12.75">
      <c r="A201" s="74"/>
      <c r="B201" s="30"/>
      <c r="C201" s="30"/>
      <c r="D201" s="30"/>
      <c r="E201" s="30"/>
      <c r="M201" s="76"/>
    </row>
    <row r="202" spans="1:13" ht="12.75">
      <c r="A202" s="74"/>
      <c r="B202" s="30"/>
      <c r="C202" s="30"/>
      <c r="D202" s="30"/>
      <c r="E202" s="30"/>
      <c r="M202" s="76"/>
    </row>
    <row r="203" spans="1:13" ht="12.75">
      <c r="A203" s="74"/>
      <c r="B203" s="30"/>
      <c r="C203" s="30"/>
      <c r="D203" s="30"/>
      <c r="E203" s="30"/>
      <c r="M203" s="76"/>
    </row>
    <row r="204" spans="1:13" ht="12.75">
      <c r="A204" s="74"/>
      <c r="B204" s="30"/>
      <c r="C204" s="30"/>
      <c r="D204" s="30"/>
      <c r="E204" s="30"/>
      <c r="M204" s="76"/>
    </row>
    <row r="205" spans="1:13" ht="12.75">
      <c r="A205" s="74"/>
      <c r="B205" s="30"/>
      <c r="C205" s="30"/>
      <c r="D205" s="30"/>
      <c r="E205" s="30"/>
      <c r="M205" s="76"/>
    </row>
    <row r="206" spans="1:13" ht="12.75">
      <c r="A206" s="74"/>
      <c r="B206" s="30"/>
      <c r="C206" s="30"/>
      <c r="D206" s="30"/>
      <c r="E206" s="30"/>
      <c r="M206" s="76"/>
    </row>
    <row r="207" spans="1:13" ht="12.75">
      <c r="A207" s="74"/>
      <c r="B207" s="30"/>
      <c r="C207" s="30"/>
      <c r="D207" s="30"/>
      <c r="E207" s="30"/>
      <c r="M207" s="76"/>
    </row>
    <row r="208" spans="1:13" ht="12.75">
      <c r="A208" s="74"/>
      <c r="B208" s="30"/>
      <c r="C208" s="30"/>
      <c r="D208" s="30"/>
      <c r="E208" s="30"/>
      <c r="M208" s="76"/>
    </row>
    <row r="209" spans="1:13" ht="12.75">
      <c r="A209" s="74"/>
      <c r="B209" s="30"/>
      <c r="C209" s="30"/>
      <c r="D209" s="30"/>
      <c r="E209" s="30"/>
      <c r="M209" s="76"/>
    </row>
    <row r="210" spans="1:13" ht="12.75">
      <c r="A210" s="74"/>
      <c r="B210" s="30"/>
      <c r="C210" s="30"/>
      <c r="D210" s="30"/>
      <c r="E210" s="30"/>
      <c r="M210" s="76"/>
    </row>
    <row r="211" spans="1:13" ht="12.75">
      <c r="A211" s="74"/>
      <c r="B211" s="30"/>
      <c r="C211" s="30"/>
      <c r="D211" s="30"/>
      <c r="E211" s="30"/>
      <c r="M211" s="76"/>
    </row>
    <row r="212" spans="1:13" ht="12.75">
      <c r="A212" s="74"/>
      <c r="B212" s="30"/>
      <c r="C212" s="30"/>
      <c r="D212" s="30"/>
      <c r="E212" s="30"/>
      <c r="M212" s="76"/>
    </row>
    <row r="213" spans="1:13" ht="12.75">
      <c r="A213" s="74"/>
      <c r="B213" s="30"/>
      <c r="C213" s="30"/>
      <c r="D213" s="30"/>
      <c r="E213" s="30"/>
      <c r="M213" s="76"/>
    </row>
    <row r="214" spans="1:13" ht="12.75">
      <c r="A214" s="74"/>
      <c r="B214" s="30"/>
      <c r="C214" s="30"/>
      <c r="D214" s="30"/>
      <c r="E214" s="30"/>
      <c r="M214" s="76"/>
    </row>
    <row r="215" spans="1:13" ht="12.75">
      <c r="A215" s="74"/>
      <c r="B215" s="30"/>
      <c r="C215" s="30"/>
      <c r="D215" s="30"/>
      <c r="E215" s="30"/>
      <c r="M215" s="76"/>
    </row>
    <row r="216" spans="1:13" ht="12.75">
      <c r="A216" s="74"/>
      <c r="B216" s="30"/>
      <c r="C216" s="30"/>
      <c r="D216" s="30"/>
      <c r="E216" s="30"/>
      <c r="M216" s="76"/>
    </row>
    <row r="217" spans="1:13" ht="12.75">
      <c r="A217" s="74"/>
      <c r="B217" s="30"/>
      <c r="C217" s="30"/>
      <c r="D217" s="30"/>
      <c r="E217" s="30"/>
      <c r="M217" s="76"/>
    </row>
    <row r="218" spans="1:13" ht="12.75">
      <c r="A218" s="74"/>
      <c r="B218" s="30"/>
      <c r="C218" s="30"/>
      <c r="D218" s="30"/>
      <c r="E218" s="30"/>
      <c r="M218" s="76"/>
    </row>
    <row r="219" spans="1:13" ht="12.75">
      <c r="A219" s="74"/>
      <c r="B219" s="30"/>
      <c r="C219" s="30"/>
      <c r="D219" s="30"/>
      <c r="E219" s="30"/>
      <c r="M219" s="76"/>
    </row>
    <row r="220" spans="1:13" ht="12.75">
      <c r="A220" s="74"/>
      <c r="B220" s="30"/>
      <c r="C220" s="30"/>
      <c r="D220" s="30"/>
      <c r="E220" s="30"/>
      <c r="M220" s="76"/>
    </row>
    <row r="221" spans="1:13" ht="12.75">
      <c r="A221" s="74"/>
      <c r="B221" s="30"/>
      <c r="C221" s="30"/>
      <c r="D221" s="30"/>
      <c r="E221" s="30"/>
      <c r="M221" s="76"/>
    </row>
    <row r="222" spans="1:13" ht="12.75">
      <c r="A222" s="74"/>
      <c r="B222" s="30"/>
      <c r="C222" s="30"/>
      <c r="D222" s="30"/>
      <c r="E222" s="30"/>
      <c r="M222" s="76"/>
    </row>
    <row r="223" spans="1:13" ht="12.75">
      <c r="A223" s="74"/>
      <c r="B223" s="30"/>
      <c r="C223" s="30"/>
      <c r="D223" s="30"/>
      <c r="E223" s="30"/>
      <c r="M223" s="76"/>
    </row>
    <row r="224" spans="1:13" ht="12.75">
      <c r="A224" s="74"/>
      <c r="B224" s="30"/>
      <c r="C224" s="30"/>
      <c r="D224" s="30"/>
      <c r="E224" s="30"/>
      <c r="M224" s="76"/>
    </row>
    <row r="225" spans="1:13" ht="12.75">
      <c r="A225" s="74"/>
      <c r="B225" s="30"/>
      <c r="C225" s="30"/>
      <c r="D225" s="30"/>
      <c r="E225" s="30"/>
      <c r="M225" s="76"/>
    </row>
    <row r="226" spans="1:13" ht="12.75">
      <c r="A226" s="74"/>
      <c r="B226" s="30"/>
      <c r="C226" s="30"/>
      <c r="D226" s="30"/>
      <c r="E226" s="30"/>
      <c r="M226" s="76"/>
    </row>
    <row r="227" spans="1:13" ht="12.75">
      <c r="A227" s="74"/>
      <c r="B227" s="30"/>
      <c r="C227" s="30"/>
      <c r="D227" s="30"/>
      <c r="E227" s="30"/>
      <c r="M227" s="76"/>
    </row>
    <row r="228" spans="1:13" ht="12.75">
      <c r="A228" s="74"/>
      <c r="B228" s="30"/>
      <c r="C228" s="30"/>
      <c r="D228" s="30"/>
      <c r="E228" s="30"/>
      <c r="M228" s="76"/>
    </row>
    <row r="229" spans="1:13" ht="12.75">
      <c r="A229" s="74"/>
      <c r="B229" s="30"/>
      <c r="C229" s="30"/>
      <c r="D229" s="30"/>
      <c r="E229" s="30"/>
      <c r="M229" s="76"/>
    </row>
    <row r="230" spans="1:13" ht="12.75">
      <c r="A230" s="74"/>
      <c r="B230" s="30"/>
      <c r="C230" s="30"/>
      <c r="D230" s="30"/>
      <c r="E230" s="30"/>
      <c r="M230" s="76"/>
    </row>
    <row r="231" spans="1:13" ht="12.75">
      <c r="A231" s="74"/>
      <c r="B231" s="30"/>
      <c r="C231" s="30"/>
      <c r="D231" s="30"/>
      <c r="E231" s="30"/>
      <c r="M231" s="76"/>
    </row>
    <row r="232" spans="1:13" ht="12.75">
      <c r="A232" s="74"/>
      <c r="B232" s="30"/>
      <c r="C232" s="30"/>
      <c r="D232" s="30"/>
      <c r="E232" s="30"/>
      <c r="M232" s="76"/>
    </row>
    <row r="233" spans="1:13" ht="12.75">
      <c r="A233" s="74"/>
      <c r="B233" s="30"/>
      <c r="C233" s="30"/>
      <c r="D233" s="30"/>
      <c r="E233" s="30"/>
      <c r="M233" s="76"/>
    </row>
    <row r="234" spans="1:13" ht="12.75">
      <c r="A234" s="74"/>
      <c r="B234" s="30"/>
      <c r="C234" s="30"/>
      <c r="D234" s="30"/>
      <c r="E234" s="30"/>
      <c r="M234" s="76"/>
    </row>
    <row r="235" spans="1:13" ht="12.75">
      <c r="A235" s="74"/>
      <c r="B235" s="30"/>
      <c r="C235" s="30"/>
      <c r="D235" s="30"/>
      <c r="E235" s="30"/>
      <c r="M235" s="76"/>
    </row>
    <row r="236" spans="1:13" ht="12.75">
      <c r="A236" s="74"/>
      <c r="B236" s="30"/>
      <c r="C236" s="30"/>
      <c r="D236" s="30"/>
      <c r="E236" s="30"/>
      <c r="M236" s="76"/>
    </row>
    <row r="237" spans="1:13" ht="12.75">
      <c r="A237" s="74"/>
      <c r="B237" s="30"/>
      <c r="C237" s="30"/>
      <c r="D237" s="30"/>
      <c r="E237" s="30"/>
      <c r="M237" s="76"/>
    </row>
    <row r="238" spans="1:13" ht="12.75">
      <c r="A238" s="74"/>
      <c r="B238" s="30"/>
      <c r="C238" s="30"/>
      <c r="D238" s="30"/>
      <c r="E238" s="30"/>
      <c r="M238" s="76"/>
    </row>
    <row r="239" spans="1:13" ht="12.75">
      <c r="A239" s="74"/>
      <c r="B239" s="30"/>
      <c r="C239" s="30"/>
      <c r="D239" s="30"/>
      <c r="E239" s="30"/>
      <c r="M239" s="76"/>
    </row>
    <row r="240" spans="1:13" ht="12.75">
      <c r="A240" s="74"/>
      <c r="B240" s="30"/>
      <c r="C240" s="30"/>
      <c r="D240" s="30"/>
      <c r="E240" s="30"/>
      <c r="M240" s="76"/>
    </row>
    <row r="241" spans="1:13" ht="12.75">
      <c r="A241" s="74"/>
      <c r="B241" s="30"/>
      <c r="C241" s="30"/>
      <c r="D241" s="30"/>
      <c r="E241" s="30"/>
      <c r="M241" s="76"/>
    </row>
    <row r="242" spans="1:13" ht="12.75">
      <c r="A242" s="74"/>
      <c r="B242" s="30"/>
      <c r="C242" s="30"/>
      <c r="D242" s="30"/>
      <c r="E242" s="30"/>
      <c r="M242" s="76"/>
    </row>
    <row r="243" spans="1:13" ht="12.75">
      <c r="A243" s="74"/>
      <c r="B243" s="30"/>
      <c r="C243" s="30"/>
      <c r="D243" s="30"/>
      <c r="E243" s="30"/>
      <c r="M243" s="76"/>
    </row>
    <row r="244" spans="1:13" ht="12.75">
      <c r="A244" s="74"/>
      <c r="B244" s="30"/>
      <c r="C244" s="30"/>
      <c r="D244" s="30"/>
      <c r="E244" s="30"/>
      <c r="M244" s="76"/>
    </row>
    <row r="245" spans="1:13" ht="12.75">
      <c r="A245" s="74"/>
      <c r="B245" s="30"/>
      <c r="C245" s="30"/>
      <c r="D245" s="30"/>
      <c r="E245" s="30"/>
      <c r="M245" s="76"/>
    </row>
    <row r="246" spans="1:13" ht="12.75">
      <c r="A246" s="74"/>
      <c r="B246" s="30"/>
      <c r="C246" s="30"/>
      <c r="D246" s="30"/>
      <c r="E246" s="30"/>
      <c r="M246" s="76"/>
    </row>
    <row r="247" spans="1:13" ht="12.75">
      <c r="A247" s="74"/>
      <c r="B247" s="30"/>
      <c r="C247" s="30"/>
      <c r="D247" s="30"/>
      <c r="E247" s="30"/>
      <c r="M247" s="76"/>
    </row>
    <row r="248" spans="1:13" ht="12.75">
      <c r="A248" s="74"/>
      <c r="B248" s="30"/>
      <c r="C248" s="30"/>
      <c r="D248" s="30"/>
      <c r="E248" s="30"/>
      <c r="M248" s="76"/>
    </row>
    <row r="249" spans="1:13" ht="12.75">
      <c r="A249" s="74"/>
      <c r="B249" s="30"/>
      <c r="C249" s="30"/>
      <c r="D249" s="30"/>
      <c r="E249" s="30"/>
      <c r="M249" s="76"/>
    </row>
    <row r="250" spans="1:13" ht="12.75">
      <c r="A250" s="74"/>
      <c r="B250" s="30"/>
      <c r="C250" s="30"/>
      <c r="D250" s="30"/>
      <c r="E250" s="30"/>
      <c r="M250" s="76"/>
    </row>
    <row r="251" spans="1:13" ht="12.75">
      <c r="A251" s="74"/>
      <c r="B251" s="30"/>
      <c r="C251" s="30"/>
      <c r="D251" s="30"/>
      <c r="E251" s="30"/>
      <c r="M251" s="76"/>
    </row>
    <row r="252" spans="1:13" ht="12.75">
      <c r="A252" s="74"/>
      <c r="B252" s="30"/>
      <c r="C252" s="30"/>
      <c r="D252" s="30"/>
      <c r="E252" s="30"/>
      <c r="M252" s="76"/>
    </row>
    <row r="253" spans="1:13" ht="12.75">
      <c r="A253" s="74"/>
      <c r="B253" s="30"/>
      <c r="C253" s="30"/>
      <c r="D253" s="30"/>
      <c r="E253" s="30"/>
      <c r="M253" s="76"/>
    </row>
    <row r="254" spans="1:13" ht="12.75">
      <c r="A254" s="74"/>
      <c r="B254" s="30"/>
      <c r="C254" s="30"/>
      <c r="D254" s="30"/>
      <c r="E254" s="30"/>
      <c r="M254" s="76"/>
    </row>
    <row r="255" spans="1:13" ht="12.75">
      <c r="A255" s="74"/>
      <c r="B255" s="30"/>
      <c r="C255" s="30"/>
      <c r="D255" s="30"/>
      <c r="E255" s="30"/>
      <c r="M255" s="76"/>
    </row>
    <row r="256" spans="1:13" ht="12.75">
      <c r="A256" s="74"/>
      <c r="B256" s="30"/>
      <c r="C256" s="30"/>
      <c r="D256" s="30"/>
      <c r="E256" s="30"/>
      <c r="M256" s="76"/>
    </row>
    <row r="257" spans="1:13" ht="12.75">
      <c r="A257" s="74"/>
      <c r="B257" s="30"/>
      <c r="C257" s="30"/>
      <c r="D257" s="30"/>
      <c r="E257" s="30"/>
      <c r="M257" s="76"/>
    </row>
    <row r="258" spans="1:13" ht="12.75">
      <c r="A258" s="74"/>
      <c r="B258" s="30"/>
      <c r="C258" s="30"/>
      <c r="D258" s="30"/>
      <c r="E258" s="30"/>
      <c r="M258" s="76"/>
    </row>
    <row r="259" spans="1:13" ht="12.75">
      <c r="A259" s="74"/>
      <c r="B259" s="30"/>
      <c r="C259" s="30"/>
      <c r="D259" s="30"/>
      <c r="E259" s="30"/>
      <c r="M259" s="76"/>
    </row>
    <row r="260" spans="1:13" ht="12.75">
      <c r="A260" s="74"/>
      <c r="B260" s="30"/>
      <c r="C260" s="30"/>
      <c r="D260" s="30"/>
      <c r="E260" s="30"/>
      <c r="M260" s="76"/>
    </row>
    <row r="261" spans="1:13" ht="12.75">
      <c r="A261" s="74"/>
      <c r="B261" s="30"/>
      <c r="C261" s="30"/>
      <c r="D261" s="30"/>
      <c r="E261" s="30"/>
      <c r="M261" s="76"/>
    </row>
    <row r="262" spans="1:13" ht="12.75">
      <c r="A262" s="74"/>
      <c r="B262" s="30"/>
      <c r="C262" s="30"/>
      <c r="D262" s="30"/>
      <c r="E262" s="30"/>
      <c r="M262" s="76"/>
    </row>
    <row r="263" spans="1:13" ht="12.75">
      <c r="A263" s="74"/>
      <c r="B263" s="30"/>
      <c r="C263" s="30"/>
      <c r="D263" s="30"/>
      <c r="E263" s="30"/>
      <c r="M263" s="76"/>
    </row>
    <row r="264" spans="1:13" ht="12.75">
      <c r="A264" s="74"/>
      <c r="B264" s="30"/>
      <c r="C264" s="30"/>
      <c r="D264" s="30"/>
      <c r="E264" s="30"/>
      <c r="M264" s="76"/>
    </row>
    <row r="265" spans="1:13" ht="12.75">
      <c r="A265" s="74"/>
      <c r="B265" s="30"/>
      <c r="C265" s="30"/>
      <c r="D265" s="30"/>
      <c r="E265" s="30"/>
      <c r="M265" s="76"/>
    </row>
    <row r="266" spans="1:13" ht="12.75">
      <c r="A266" s="74"/>
      <c r="B266" s="30"/>
      <c r="C266" s="30"/>
      <c r="D266" s="30"/>
      <c r="E266" s="30"/>
      <c r="M266" s="76"/>
    </row>
    <row r="267" spans="1:13" ht="12.75">
      <c r="A267" s="74"/>
      <c r="B267" s="30"/>
      <c r="C267" s="30"/>
      <c r="D267" s="30"/>
      <c r="E267" s="30"/>
      <c r="M267" s="76"/>
    </row>
    <row r="268" spans="1:13" ht="12.75">
      <c r="A268" s="74"/>
      <c r="B268" s="30"/>
      <c r="C268" s="30"/>
      <c r="D268" s="30"/>
      <c r="E268" s="30"/>
      <c r="M268" s="76"/>
    </row>
    <row r="269" spans="1:13" ht="12.75">
      <c r="A269" s="74"/>
      <c r="B269" s="30"/>
      <c r="C269" s="30"/>
      <c r="D269" s="30"/>
      <c r="E269" s="30"/>
      <c r="M269" s="76"/>
    </row>
    <row r="270" spans="1:13" ht="12.75">
      <c r="A270" s="74"/>
      <c r="B270" s="30"/>
      <c r="C270" s="30"/>
      <c r="D270" s="30"/>
      <c r="E270" s="30"/>
      <c r="M270" s="76"/>
    </row>
    <row r="271" spans="1:13" ht="12.75">
      <c r="A271" s="74"/>
      <c r="B271" s="30"/>
      <c r="C271" s="30"/>
      <c r="D271" s="30"/>
      <c r="E271" s="30"/>
      <c r="M271" s="76"/>
    </row>
    <row r="272" spans="1:13" ht="12.75">
      <c r="A272" s="74"/>
      <c r="B272" s="30"/>
      <c r="C272" s="30"/>
      <c r="D272" s="30"/>
      <c r="E272" s="30"/>
      <c r="M272" s="76"/>
    </row>
    <row r="273" spans="1:13" ht="12.75">
      <c r="A273" s="74"/>
      <c r="B273" s="30"/>
      <c r="C273" s="30"/>
      <c r="D273" s="30"/>
      <c r="E273" s="30"/>
      <c r="M273" s="76"/>
    </row>
    <row r="274" spans="1:13" ht="12.75">
      <c r="A274" s="74"/>
      <c r="B274" s="30"/>
      <c r="C274" s="30"/>
      <c r="D274" s="30"/>
      <c r="E274" s="30"/>
      <c r="M274" s="76"/>
    </row>
    <row r="275" spans="1:13" ht="12.75">
      <c r="A275" s="74"/>
      <c r="B275" s="30"/>
      <c r="C275" s="30"/>
      <c r="D275" s="30"/>
      <c r="E275" s="30"/>
      <c r="M275" s="76"/>
    </row>
    <row r="276" spans="1:13" ht="12.75">
      <c r="A276" s="74"/>
      <c r="B276" s="30"/>
      <c r="C276" s="30"/>
      <c r="D276" s="30"/>
      <c r="E276" s="30"/>
      <c r="M276" s="76"/>
    </row>
    <row r="277" spans="1:13" ht="12.75">
      <c r="A277" s="74"/>
      <c r="B277" s="30"/>
      <c r="C277" s="30"/>
      <c r="D277" s="30"/>
      <c r="E277" s="30"/>
      <c r="M277" s="76"/>
    </row>
    <row r="278" spans="1:13" ht="12.75">
      <c r="A278" s="74"/>
      <c r="B278" s="30"/>
      <c r="C278" s="30"/>
      <c r="D278" s="30"/>
      <c r="E278" s="30"/>
      <c r="M278" s="76"/>
    </row>
    <row r="279" spans="1:13" ht="12.75">
      <c r="A279" s="74"/>
      <c r="B279" s="30"/>
      <c r="C279" s="30"/>
      <c r="D279" s="30"/>
      <c r="E279" s="30"/>
      <c r="M279" s="76"/>
    </row>
    <row r="280" spans="1:13" ht="12.75">
      <c r="A280" s="74"/>
      <c r="B280" s="30"/>
      <c r="C280" s="30"/>
      <c r="D280" s="30"/>
      <c r="E280" s="30"/>
      <c r="M280" s="76"/>
    </row>
    <row r="281" spans="1:13" ht="12.75">
      <c r="A281" s="74"/>
      <c r="B281" s="30"/>
      <c r="C281" s="30"/>
      <c r="D281" s="30"/>
      <c r="E281" s="30"/>
      <c r="M281" s="76"/>
    </row>
    <row r="282" spans="1:13" ht="12.75">
      <c r="A282" s="74"/>
      <c r="B282" s="30"/>
      <c r="C282" s="30"/>
      <c r="D282" s="30"/>
      <c r="E282" s="30"/>
      <c r="M282" s="76"/>
    </row>
    <row r="283" spans="1:13" ht="12.75">
      <c r="A283" s="74"/>
      <c r="B283" s="30"/>
      <c r="C283" s="30"/>
      <c r="D283" s="30"/>
      <c r="E283" s="30"/>
      <c r="M283" s="76"/>
    </row>
    <row r="284" spans="1:13" ht="12.75">
      <c r="A284" s="74"/>
      <c r="B284" s="30"/>
      <c r="C284" s="30"/>
      <c r="D284" s="30"/>
      <c r="E284" s="30"/>
      <c r="M284" s="76"/>
    </row>
    <row r="285" spans="1:13" ht="12.75">
      <c r="A285" s="74"/>
      <c r="B285" s="30"/>
      <c r="C285" s="30"/>
      <c r="D285" s="30"/>
      <c r="E285" s="30"/>
      <c r="M285" s="76"/>
    </row>
    <row r="286" spans="1:13" ht="12.75">
      <c r="A286" s="74"/>
      <c r="B286" s="30"/>
      <c r="C286" s="30"/>
      <c r="D286" s="30"/>
      <c r="E286" s="30"/>
      <c r="M286" s="76"/>
    </row>
    <row r="287" spans="1:13" ht="12.75">
      <c r="A287" s="74"/>
      <c r="B287" s="30"/>
      <c r="C287" s="30"/>
      <c r="D287" s="30"/>
      <c r="E287" s="30"/>
      <c r="M287" s="76"/>
    </row>
    <row r="288" spans="1:13" ht="12.75">
      <c r="A288" s="74"/>
      <c r="B288" s="30"/>
      <c r="C288" s="30"/>
      <c r="D288" s="30"/>
      <c r="E288" s="30"/>
      <c r="M288" s="76"/>
    </row>
    <row r="289" spans="1:13" ht="12.75">
      <c r="A289" s="74"/>
      <c r="B289" s="30"/>
      <c r="C289" s="30"/>
      <c r="D289" s="30"/>
      <c r="E289" s="30"/>
      <c r="M289" s="76"/>
    </row>
    <row r="290" spans="1:13" ht="12.75">
      <c r="A290" s="74"/>
      <c r="B290" s="30"/>
      <c r="C290" s="30"/>
      <c r="D290" s="30"/>
      <c r="E290" s="30"/>
      <c r="M290" s="76"/>
    </row>
    <row r="291" spans="1:13" ht="12.75">
      <c r="A291" s="74"/>
      <c r="B291" s="30"/>
      <c r="C291" s="30"/>
      <c r="D291" s="30"/>
      <c r="E291" s="30"/>
      <c r="M291" s="76"/>
    </row>
    <row r="292" spans="1:13" ht="12.75">
      <c r="A292" s="74"/>
      <c r="B292" s="30"/>
      <c r="C292" s="30"/>
      <c r="D292" s="30"/>
      <c r="E292" s="30"/>
      <c r="M292" s="76"/>
    </row>
    <row r="293" spans="1:13" ht="12.75">
      <c r="A293" s="74"/>
      <c r="B293" s="30"/>
      <c r="C293" s="30"/>
      <c r="D293" s="30"/>
      <c r="E293" s="30"/>
      <c r="M293" s="76"/>
    </row>
    <row r="294" spans="1:13" ht="12.75">
      <c r="A294" s="74"/>
      <c r="B294" s="30"/>
      <c r="C294" s="30"/>
      <c r="D294" s="30"/>
      <c r="E294" s="30"/>
      <c r="M294" s="76"/>
    </row>
    <row r="295" spans="1:13" ht="12.75">
      <c r="A295" s="74"/>
      <c r="B295" s="30"/>
      <c r="C295" s="30"/>
      <c r="D295" s="30"/>
      <c r="E295" s="30"/>
      <c r="M295" s="76"/>
    </row>
    <row r="296" spans="1:13" ht="12.75">
      <c r="A296" s="74"/>
      <c r="B296" s="30"/>
      <c r="C296" s="30"/>
      <c r="D296" s="30"/>
      <c r="E296" s="30"/>
      <c r="M296" s="76"/>
    </row>
    <row r="297" spans="1:13" ht="12.75">
      <c r="A297" s="74"/>
      <c r="B297" s="30"/>
      <c r="C297" s="30"/>
      <c r="D297" s="30"/>
      <c r="E297" s="30"/>
      <c r="M297" s="76"/>
    </row>
    <row r="298" spans="1:13" ht="12.75">
      <c r="A298" s="74"/>
      <c r="B298" s="30"/>
      <c r="C298" s="30"/>
      <c r="D298" s="30"/>
      <c r="E298" s="30"/>
      <c r="M298" s="76"/>
    </row>
    <row r="299" spans="1:13" ht="12.75">
      <c r="A299" s="74"/>
      <c r="B299" s="30"/>
      <c r="C299" s="30"/>
      <c r="D299" s="30"/>
      <c r="E299" s="30"/>
      <c r="M299" s="76"/>
    </row>
    <row r="300" spans="1:13" ht="12.75">
      <c r="A300" s="74"/>
      <c r="B300" s="30"/>
      <c r="C300" s="30"/>
      <c r="D300" s="30"/>
      <c r="E300" s="30"/>
      <c r="M300" s="76"/>
    </row>
    <row r="301" spans="1:13" ht="12.75">
      <c r="A301" s="74"/>
      <c r="B301" s="30"/>
      <c r="C301" s="30"/>
      <c r="D301" s="30"/>
      <c r="E301" s="30"/>
      <c r="M301" s="76"/>
    </row>
    <row r="302" spans="1:13" ht="12.75">
      <c r="A302" s="74"/>
      <c r="B302" s="30"/>
      <c r="C302" s="30"/>
      <c r="D302" s="30"/>
      <c r="E302" s="30"/>
      <c r="M302" s="76"/>
    </row>
    <row r="303" spans="1:13" ht="12.75">
      <c r="A303" s="74"/>
      <c r="B303" s="30"/>
      <c r="C303" s="30"/>
      <c r="D303" s="30"/>
      <c r="E303" s="30"/>
      <c r="M303" s="76"/>
    </row>
    <row r="304" spans="1:13" ht="12.75">
      <c r="A304" s="74"/>
      <c r="B304" s="30"/>
      <c r="C304" s="30"/>
      <c r="D304" s="30"/>
      <c r="E304" s="30"/>
      <c r="M304" s="76"/>
    </row>
    <row r="305" spans="1:13" ht="12.75">
      <c r="A305" s="74"/>
      <c r="B305" s="30"/>
      <c r="C305" s="30"/>
      <c r="D305" s="30"/>
      <c r="E305" s="30"/>
      <c r="M305" s="76"/>
    </row>
    <row r="306" spans="1:13" ht="12.75">
      <c r="A306" s="74"/>
      <c r="B306" s="30"/>
      <c r="C306" s="30"/>
      <c r="D306" s="30"/>
      <c r="E306" s="30"/>
      <c r="M306" s="76"/>
    </row>
    <row r="307" spans="1:13" ht="12.75">
      <c r="A307" s="74"/>
      <c r="B307" s="30"/>
      <c r="C307" s="30"/>
      <c r="D307" s="30"/>
      <c r="E307" s="30"/>
      <c r="M307" s="76"/>
    </row>
    <row r="308" spans="1:13" ht="12.75">
      <c r="A308" s="74"/>
      <c r="B308" s="30"/>
      <c r="C308" s="30"/>
      <c r="D308" s="30"/>
      <c r="E308" s="30"/>
      <c r="M308" s="76"/>
    </row>
    <row r="309" spans="1:13" ht="12.75">
      <c r="A309" s="74"/>
      <c r="B309" s="30"/>
      <c r="C309" s="30"/>
      <c r="D309" s="30"/>
      <c r="E309" s="30"/>
      <c r="M309" s="76"/>
    </row>
    <row r="310" spans="1:13" ht="12.75">
      <c r="A310" s="74"/>
      <c r="B310" s="30"/>
      <c r="C310" s="30"/>
      <c r="D310" s="30"/>
      <c r="E310" s="30"/>
      <c r="M310" s="76"/>
    </row>
    <row r="311" spans="1:13" ht="12.75">
      <c r="A311" s="74"/>
      <c r="B311" s="30"/>
      <c r="C311" s="30"/>
      <c r="D311" s="30"/>
      <c r="E311" s="30"/>
      <c r="M311" s="76"/>
    </row>
    <row r="312" spans="1:13" ht="12.75">
      <c r="A312" s="74"/>
      <c r="B312" s="30"/>
      <c r="C312" s="30"/>
      <c r="D312" s="30"/>
      <c r="E312" s="30"/>
      <c r="M312" s="76"/>
    </row>
    <row r="313" spans="1:13" ht="12.75">
      <c r="A313" s="74"/>
      <c r="B313" s="30"/>
      <c r="C313" s="30"/>
      <c r="D313" s="30"/>
      <c r="E313" s="30"/>
      <c r="M313" s="76"/>
    </row>
    <row r="314" spans="1:13" ht="12.75">
      <c r="A314" s="74"/>
      <c r="B314" s="30"/>
      <c r="C314" s="30"/>
      <c r="D314" s="30"/>
      <c r="E314" s="30"/>
      <c r="M314" s="76"/>
    </row>
    <row r="315" spans="1:13" ht="12.75">
      <c r="A315" s="74"/>
      <c r="B315" s="30"/>
      <c r="C315" s="30"/>
      <c r="D315" s="30"/>
      <c r="E315" s="30"/>
      <c r="M315" s="76"/>
    </row>
    <row r="316" spans="1:13" ht="12.75">
      <c r="A316" s="74"/>
      <c r="B316" s="30"/>
      <c r="C316" s="30"/>
      <c r="D316" s="30"/>
      <c r="E316" s="30"/>
      <c r="M316" s="76"/>
    </row>
    <row r="317" spans="1:13" ht="12.75">
      <c r="A317" s="74"/>
      <c r="B317" s="30"/>
      <c r="C317" s="30"/>
      <c r="D317" s="30"/>
      <c r="E317" s="30"/>
      <c r="M317" s="76"/>
    </row>
    <row r="318" spans="1:13" ht="12.75">
      <c r="A318" s="74"/>
      <c r="B318" s="30"/>
      <c r="C318" s="30"/>
      <c r="D318" s="30"/>
      <c r="E318" s="30"/>
      <c r="M318" s="76"/>
    </row>
    <row r="319" spans="1:13" ht="12.75">
      <c r="A319" s="74"/>
      <c r="B319" s="30"/>
      <c r="C319" s="30"/>
      <c r="D319" s="30"/>
      <c r="E319" s="30"/>
      <c r="M319" s="76"/>
    </row>
    <row r="320" spans="1:13" ht="12.75">
      <c r="A320" s="74"/>
      <c r="B320" s="30"/>
      <c r="C320" s="30"/>
      <c r="D320" s="30"/>
      <c r="E320" s="30"/>
      <c r="M320" s="76"/>
    </row>
    <row r="321" spans="1:13" ht="12.75">
      <c r="A321" s="74"/>
      <c r="B321" s="30"/>
      <c r="C321" s="30"/>
      <c r="D321" s="30"/>
      <c r="E321" s="30"/>
      <c r="M321" s="76"/>
    </row>
    <row r="322" spans="1:13" ht="12.75">
      <c r="A322" s="74"/>
      <c r="B322" s="30"/>
      <c r="C322" s="30"/>
      <c r="D322" s="30"/>
      <c r="E322" s="30"/>
      <c r="M322" s="76"/>
    </row>
    <row r="323" spans="1:13" ht="12.75">
      <c r="A323" s="74"/>
      <c r="B323" s="30"/>
      <c r="C323" s="30"/>
      <c r="D323" s="30"/>
      <c r="E323" s="30"/>
      <c r="M323" s="76"/>
    </row>
    <row r="324" spans="1:13" ht="12.75">
      <c r="A324" s="74"/>
      <c r="B324" s="30"/>
      <c r="C324" s="30"/>
      <c r="D324" s="30"/>
      <c r="E324" s="30"/>
      <c r="M324" s="76"/>
    </row>
    <row r="325" spans="1:13" ht="12.75">
      <c r="A325" s="74"/>
      <c r="B325" s="30"/>
      <c r="C325" s="30"/>
      <c r="D325" s="30"/>
      <c r="E325" s="30"/>
      <c r="M325" s="76"/>
    </row>
    <row r="326" spans="1:13" ht="12.75">
      <c r="A326" s="74"/>
      <c r="B326" s="30"/>
      <c r="C326" s="30"/>
      <c r="D326" s="30"/>
      <c r="E326" s="30"/>
      <c r="M326" s="76"/>
    </row>
    <row r="327" spans="1:13" ht="12.75">
      <c r="A327" s="74"/>
      <c r="B327" s="30"/>
      <c r="C327" s="30"/>
      <c r="D327" s="30"/>
      <c r="E327" s="30"/>
      <c r="M327" s="76"/>
    </row>
    <row r="328" spans="1:13" ht="12.75">
      <c r="A328" s="74"/>
      <c r="B328" s="30"/>
      <c r="C328" s="30"/>
      <c r="D328" s="30"/>
      <c r="E328" s="30"/>
      <c r="M328" s="76"/>
    </row>
    <row r="329" spans="1:13" ht="12.75">
      <c r="A329" s="74"/>
      <c r="B329" s="30"/>
      <c r="C329" s="30"/>
      <c r="D329" s="30"/>
      <c r="E329" s="30"/>
      <c r="M329" s="76"/>
    </row>
    <row r="330" spans="1:13" ht="12.75">
      <c r="A330" s="74"/>
      <c r="B330" s="30"/>
      <c r="C330" s="30"/>
      <c r="D330" s="30"/>
      <c r="E330" s="30"/>
      <c r="M330" s="76"/>
    </row>
    <row r="331" spans="1:13" ht="12.75">
      <c r="A331" s="74"/>
      <c r="B331" s="30"/>
      <c r="C331" s="30"/>
      <c r="D331" s="30"/>
      <c r="E331" s="30"/>
      <c r="M331" s="76"/>
    </row>
    <row r="332" spans="1:13" ht="12.75">
      <c r="A332" s="74"/>
      <c r="B332" s="30"/>
      <c r="C332" s="30"/>
      <c r="D332" s="30"/>
      <c r="E332" s="30"/>
      <c r="M332" s="76"/>
    </row>
    <row r="333" spans="1:13" ht="12.75">
      <c r="A333" s="74"/>
      <c r="B333" s="30"/>
      <c r="C333" s="30"/>
      <c r="D333" s="30"/>
      <c r="E333" s="30"/>
      <c r="M333" s="76"/>
    </row>
    <row r="334" spans="1:13" ht="12.75">
      <c r="A334" s="74"/>
      <c r="B334" s="30"/>
      <c r="C334" s="30"/>
      <c r="D334" s="30"/>
      <c r="E334" s="30"/>
      <c r="M334" s="76"/>
    </row>
    <row r="335" spans="1:13" ht="12.75">
      <c r="A335" s="74"/>
      <c r="B335" s="30"/>
      <c r="C335" s="30"/>
      <c r="D335" s="30"/>
      <c r="E335" s="30"/>
      <c r="M335" s="76"/>
    </row>
    <row r="336" spans="1:13" ht="12.75">
      <c r="A336" s="74"/>
      <c r="B336" s="30"/>
      <c r="C336" s="30"/>
      <c r="D336" s="30"/>
      <c r="E336" s="30"/>
      <c r="M336" s="76"/>
    </row>
    <row r="337" spans="1:13" ht="12.75">
      <c r="A337" s="74"/>
      <c r="B337" s="30"/>
      <c r="C337" s="30"/>
      <c r="D337" s="30"/>
      <c r="E337" s="30"/>
      <c r="M337" s="76"/>
    </row>
    <row r="338" spans="1:13" ht="12.75">
      <c r="A338" s="74"/>
      <c r="B338" s="30"/>
      <c r="C338" s="30"/>
      <c r="D338" s="30"/>
      <c r="E338" s="30"/>
      <c r="M338" s="76"/>
    </row>
    <row r="339" spans="1:13" ht="12.75">
      <c r="A339" s="74"/>
      <c r="B339" s="30"/>
      <c r="C339" s="30"/>
      <c r="D339" s="30"/>
      <c r="E339" s="30"/>
      <c r="M339" s="76"/>
    </row>
    <row r="340" spans="1:13" ht="12.75">
      <c r="A340" s="74"/>
      <c r="B340" s="30"/>
      <c r="C340" s="30"/>
      <c r="D340" s="30"/>
      <c r="E340" s="30"/>
      <c r="M340" s="76"/>
    </row>
    <row r="341" spans="1:13" ht="12.75">
      <c r="A341" s="74"/>
      <c r="B341" s="30"/>
      <c r="C341" s="30"/>
      <c r="D341" s="30"/>
      <c r="E341" s="30"/>
      <c r="M341" s="76"/>
    </row>
    <row r="342" spans="1:13" ht="12.75">
      <c r="A342" s="74"/>
      <c r="B342" s="30"/>
      <c r="C342" s="30"/>
      <c r="D342" s="30"/>
      <c r="E342" s="30"/>
      <c r="M342" s="76"/>
    </row>
    <row r="343" spans="1:13" ht="12.75">
      <c r="A343" s="74"/>
      <c r="B343" s="30"/>
      <c r="C343" s="30"/>
      <c r="D343" s="30"/>
      <c r="E343" s="30"/>
      <c r="M343" s="76"/>
    </row>
    <row r="344" spans="1:13" ht="12.75">
      <c r="A344" s="74"/>
      <c r="B344" s="30"/>
      <c r="C344" s="30"/>
      <c r="D344" s="30"/>
      <c r="E344" s="30"/>
      <c r="M344" s="76"/>
    </row>
    <row r="345" spans="1:13" ht="12.75">
      <c r="A345" s="74"/>
      <c r="B345" s="30"/>
      <c r="C345" s="30"/>
      <c r="D345" s="30"/>
      <c r="E345" s="30"/>
      <c r="M345" s="76"/>
    </row>
    <row r="346" spans="1:13" ht="12.75">
      <c r="A346" s="74"/>
      <c r="B346" s="30"/>
      <c r="C346" s="30"/>
      <c r="D346" s="30"/>
      <c r="E346" s="30"/>
      <c r="M346" s="76"/>
    </row>
    <row r="347" spans="1:13" ht="12.75">
      <c r="A347" s="74"/>
      <c r="B347" s="30"/>
      <c r="C347" s="30"/>
      <c r="D347" s="30"/>
      <c r="E347" s="30"/>
      <c r="M347" s="76"/>
    </row>
    <row r="348" spans="1:13" ht="12.75">
      <c r="A348" s="74"/>
      <c r="B348" s="30"/>
      <c r="C348" s="30"/>
      <c r="D348" s="30"/>
      <c r="E348" s="30"/>
      <c r="M348" s="76"/>
    </row>
    <row r="349" spans="1:13" ht="12.75">
      <c r="A349" s="74"/>
      <c r="B349" s="30"/>
      <c r="C349" s="30"/>
      <c r="D349" s="30"/>
      <c r="E349" s="30"/>
      <c r="M349" s="76"/>
    </row>
    <row r="350" spans="1:13" ht="12.75">
      <c r="A350" s="74"/>
      <c r="B350" s="30"/>
      <c r="C350" s="30"/>
      <c r="D350" s="30"/>
      <c r="E350" s="30"/>
      <c r="M350" s="76"/>
    </row>
    <row r="351" spans="1:13" ht="12.75">
      <c r="A351" s="74"/>
      <c r="B351" s="30"/>
      <c r="C351" s="30"/>
      <c r="D351" s="30"/>
      <c r="E351" s="30"/>
      <c r="M351" s="76"/>
    </row>
    <row r="352" spans="1:13" ht="12.75">
      <c r="A352" s="74"/>
      <c r="B352" s="30"/>
      <c r="C352" s="30"/>
      <c r="D352" s="30"/>
      <c r="E352" s="30"/>
      <c r="M352" s="76"/>
    </row>
    <row r="353" spans="1:13" ht="12.75">
      <c r="A353" s="74"/>
      <c r="B353" s="30"/>
      <c r="C353" s="30"/>
      <c r="D353" s="30"/>
      <c r="E353" s="30"/>
      <c r="M353" s="76"/>
    </row>
    <row r="354" spans="1:13" ht="12.75">
      <c r="A354" s="74"/>
      <c r="B354" s="30"/>
      <c r="C354" s="30"/>
      <c r="D354" s="30"/>
      <c r="E354" s="30"/>
      <c r="M354" s="76"/>
    </row>
    <row r="355" spans="1:13" ht="12.75">
      <c r="A355" s="74"/>
      <c r="B355" s="30"/>
      <c r="C355" s="30"/>
      <c r="D355" s="30"/>
      <c r="E355" s="30"/>
      <c r="M355" s="76"/>
    </row>
    <row r="356" spans="1:13" ht="12.75">
      <c r="A356" s="74"/>
      <c r="B356" s="30"/>
      <c r="C356" s="30"/>
      <c r="D356" s="30"/>
      <c r="E356" s="30"/>
      <c r="M356" s="76"/>
    </row>
    <row r="357" spans="1:13" ht="12.75">
      <c r="A357" s="74"/>
      <c r="B357" s="30"/>
      <c r="C357" s="30"/>
      <c r="D357" s="30"/>
      <c r="E357" s="30"/>
      <c r="M357" s="76"/>
    </row>
    <row r="358" spans="1:13" ht="12.75">
      <c r="A358" s="74"/>
      <c r="B358" s="30"/>
      <c r="C358" s="30"/>
      <c r="D358" s="30"/>
      <c r="E358" s="30"/>
      <c r="M358" s="76"/>
    </row>
    <row r="359" spans="1:13" ht="12.75">
      <c r="A359" s="74"/>
      <c r="B359" s="30"/>
      <c r="C359" s="30"/>
      <c r="D359" s="30"/>
      <c r="E359" s="30"/>
      <c r="M359" s="76"/>
    </row>
    <row r="360" spans="1:13" ht="12.75">
      <c r="A360" s="74"/>
      <c r="B360" s="30"/>
      <c r="C360" s="30"/>
      <c r="D360" s="30"/>
      <c r="E360" s="30"/>
      <c r="M360" s="76"/>
    </row>
    <row r="361" spans="1:13" ht="12.75">
      <c r="A361" s="74"/>
      <c r="B361" s="30"/>
      <c r="C361" s="30"/>
      <c r="D361" s="30"/>
      <c r="E361" s="30"/>
      <c r="M361" s="76"/>
    </row>
    <row r="362" spans="1:13" ht="12.75">
      <c r="A362" s="74"/>
      <c r="B362" s="30"/>
      <c r="C362" s="30"/>
      <c r="D362" s="30"/>
      <c r="E362" s="30"/>
      <c r="M362" s="76"/>
    </row>
    <row r="363" spans="1:13" ht="12.75">
      <c r="A363" s="74"/>
      <c r="B363" s="30"/>
      <c r="C363" s="30"/>
      <c r="D363" s="30"/>
      <c r="E363" s="30"/>
      <c r="M363" s="76"/>
    </row>
    <row r="364" spans="1:13" ht="12.75">
      <c r="A364" s="74"/>
      <c r="B364" s="30"/>
      <c r="C364" s="30"/>
      <c r="D364" s="30"/>
      <c r="E364" s="30"/>
      <c r="M364" s="76"/>
    </row>
    <row r="365" spans="1:13" ht="12.75">
      <c r="A365" s="74"/>
      <c r="B365" s="30"/>
      <c r="C365" s="30"/>
      <c r="D365" s="30"/>
      <c r="E365" s="30"/>
      <c r="M365" s="76"/>
    </row>
    <row r="366" spans="1:13" ht="12.75">
      <c r="A366" s="74"/>
      <c r="B366" s="30"/>
      <c r="C366" s="30"/>
      <c r="D366" s="30"/>
      <c r="E366" s="30"/>
      <c r="M366" s="76"/>
    </row>
    <row r="367" spans="1:13" ht="12.75">
      <c r="A367" s="74"/>
      <c r="B367" s="30"/>
      <c r="C367" s="30"/>
      <c r="D367" s="30"/>
      <c r="E367" s="30"/>
      <c r="M367" s="76"/>
    </row>
    <row r="368" spans="1:13" ht="12.75">
      <c r="A368" s="74"/>
      <c r="B368" s="30"/>
      <c r="C368" s="30"/>
      <c r="D368" s="30"/>
      <c r="E368" s="30"/>
      <c r="M368" s="76"/>
    </row>
    <row r="369" spans="1:13" ht="12.75">
      <c r="A369" s="74"/>
      <c r="B369" s="30"/>
      <c r="C369" s="30"/>
      <c r="D369" s="30"/>
      <c r="E369" s="30"/>
      <c r="M369" s="76"/>
    </row>
    <row r="370" spans="1:13" ht="12.75">
      <c r="A370" s="74"/>
      <c r="B370" s="30"/>
      <c r="C370" s="30"/>
      <c r="D370" s="30"/>
      <c r="E370" s="30"/>
      <c r="M370" s="76"/>
    </row>
    <row r="371" spans="1:13" ht="12.75">
      <c r="A371" s="74"/>
      <c r="B371" s="30"/>
      <c r="C371" s="30"/>
      <c r="D371" s="30"/>
      <c r="E371" s="30"/>
      <c r="M371" s="76"/>
    </row>
    <row r="372" spans="1:13" ht="12.75">
      <c r="A372" s="74"/>
      <c r="B372" s="30"/>
      <c r="C372" s="30"/>
      <c r="D372" s="30"/>
      <c r="E372" s="30"/>
      <c r="M372" s="76"/>
    </row>
    <row r="373" spans="1:13" ht="12.75">
      <c r="A373" s="74"/>
      <c r="B373" s="30"/>
      <c r="C373" s="30"/>
      <c r="D373" s="30"/>
      <c r="E373" s="30"/>
      <c r="M373" s="76"/>
    </row>
    <row r="374" spans="1:13" ht="12.75">
      <c r="A374" s="74"/>
      <c r="B374" s="30"/>
      <c r="C374" s="30"/>
      <c r="D374" s="30"/>
      <c r="E374" s="30"/>
      <c r="M374" s="76"/>
    </row>
    <row r="375" spans="1:13" ht="12.75">
      <c r="A375" s="74"/>
      <c r="B375" s="30"/>
      <c r="C375" s="30"/>
      <c r="D375" s="30"/>
      <c r="E375" s="30"/>
      <c r="M375" s="76"/>
    </row>
    <row r="376" spans="1:13" ht="12.75">
      <c r="A376" s="74"/>
      <c r="B376" s="30"/>
      <c r="C376" s="30"/>
      <c r="D376" s="30"/>
      <c r="E376" s="30"/>
      <c r="M376" s="76"/>
    </row>
    <row r="377" spans="1:13" ht="12.75">
      <c r="A377" s="74"/>
      <c r="B377" s="30"/>
      <c r="C377" s="30"/>
      <c r="D377" s="30"/>
      <c r="E377" s="30"/>
      <c r="M377" s="76"/>
    </row>
    <row r="378" spans="1:13" ht="12.75">
      <c r="A378" s="74"/>
      <c r="B378" s="30"/>
      <c r="C378" s="30"/>
      <c r="D378" s="30"/>
      <c r="E378" s="30"/>
      <c r="M378" s="76"/>
    </row>
    <row r="379" spans="1:13" ht="12.75">
      <c r="A379" s="74"/>
      <c r="B379" s="30"/>
      <c r="C379" s="30"/>
      <c r="D379" s="30"/>
      <c r="E379" s="30"/>
      <c r="M379" s="76"/>
    </row>
    <row r="380" spans="1:13" ht="12.75">
      <c r="A380" s="74"/>
      <c r="B380" s="30"/>
      <c r="C380" s="30"/>
      <c r="D380" s="30"/>
      <c r="E380" s="30"/>
      <c r="M380" s="76"/>
    </row>
    <row r="381" spans="1:13" ht="12.75">
      <c r="A381" s="74"/>
      <c r="B381" s="30"/>
      <c r="C381" s="30"/>
      <c r="D381" s="30"/>
      <c r="E381" s="30"/>
      <c r="M381" s="76"/>
    </row>
    <row r="382" spans="1:13" ht="12.75">
      <c r="A382" s="74"/>
      <c r="B382" s="30"/>
      <c r="C382" s="30"/>
      <c r="D382" s="30"/>
      <c r="E382" s="30"/>
      <c r="M382" s="76"/>
    </row>
    <row r="383" spans="1:13" ht="12.75">
      <c r="A383" s="74"/>
      <c r="B383" s="30"/>
      <c r="C383" s="30"/>
      <c r="D383" s="30"/>
      <c r="E383" s="30"/>
      <c r="M383" s="76"/>
    </row>
    <row r="384" spans="1:13" ht="12.75">
      <c r="A384" s="74"/>
      <c r="B384" s="30"/>
      <c r="C384" s="30"/>
      <c r="D384" s="30"/>
      <c r="E384" s="30"/>
      <c r="M384" s="76"/>
    </row>
    <row r="385" spans="1:13" ht="12.75">
      <c r="A385" s="74"/>
      <c r="B385" s="30"/>
      <c r="C385" s="30"/>
      <c r="D385" s="30"/>
      <c r="E385" s="30"/>
      <c r="M385" s="76"/>
    </row>
    <row r="386" spans="1:13" ht="12.75">
      <c r="A386" s="74"/>
      <c r="B386" s="30"/>
      <c r="C386" s="30"/>
      <c r="D386" s="30"/>
      <c r="E386" s="30"/>
      <c r="M386" s="76"/>
    </row>
    <row r="387" spans="1:13" ht="12.75">
      <c r="A387" s="74"/>
      <c r="B387" s="30"/>
      <c r="C387" s="30"/>
      <c r="D387" s="30"/>
      <c r="E387" s="30"/>
      <c r="M387" s="76"/>
    </row>
    <row r="388" spans="1:13" ht="12.75">
      <c r="A388" s="74"/>
      <c r="B388" s="30"/>
      <c r="C388" s="30"/>
      <c r="D388" s="30"/>
      <c r="E388" s="30"/>
      <c r="M388" s="76"/>
    </row>
    <row r="389" spans="1:13" ht="12.75">
      <c r="A389" s="74"/>
      <c r="B389" s="30"/>
      <c r="C389" s="30"/>
      <c r="D389" s="30"/>
      <c r="E389" s="30"/>
      <c r="M389" s="76"/>
    </row>
    <row r="390" spans="1:13" ht="12.75">
      <c r="A390" s="74"/>
      <c r="B390" s="30"/>
      <c r="C390" s="30"/>
      <c r="D390" s="30"/>
      <c r="E390" s="30"/>
      <c r="M390" s="76"/>
    </row>
    <row r="391" spans="1:13" ht="12.75">
      <c r="A391" s="74"/>
      <c r="B391" s="30"/>
      <c r="C391" s="30"/>
      <c r="D391" s="30"/>
      <c r="E391" s="30"/>
      <c r="M391" s="76"/>
    </row>
    <row r="392" spans="1:13" ht="12.75">
      <c r="A392" s="74"/>
      <c r="B392" s="30"/>
      <c r="C392" s="30"/>
      <c r="D392" s="30"/>
      <c r="E392" s="30"/>
      <c r="M392" s="76"/>
    </row>
    <row r="393" spans="1:13" ht="12.75">
      <c r="A393" s="74"/>
      <c r="B393" s="30"/>
      <c r="C393" s="30"/>
      <c r="D393" s="30"/>
      <c r="E393" s="30"/>
      <c r="M393" s="76"/>
    </row>
    <row r="394" spans="1:13" ht="12.75">
      <c r="A394" s="74"/>
      <c r="B394" s="30"/>
      <c r="C394" s="30"/>
      <c r="D394" s="30"/>
      <c r="E394" s="30"/>
      <c r="M394" s="76"/>
    </row>
    <row r="395" spans="1:13" ht="12.75">
      <c r="A395" s="74"/>
      <c r="B395" s="30"/>
      <c r="C395" s="30"/>
      <c r="D395" s="30"/>
      <c r="E395" s="30"/>
      <c r="M395" s="76"/>
    </row>
    <row r="396" spans="1:13" ht="12.75">
      <c r="A396" s="74"/>
      <c r="B396" s="30"/>
      <c r="C396" s="30"/>
      <c r="D396" s="30"/>
      <c r="E396" s="30"/>
      <c r="M396" s="76"/>
    </row>
    <row r="397" spans="1:13" ht="12.75">
      <c r="A397" s="74"/>
      <c r="B397" s="30"/>
      <c r="C397" s="30"/>
      <c r="D397" s="30"/>
      <c r="E397" s="30"/>
      <c r="M397" s="76"/>
    </row>
    <row r="398" spans="1:13" ht="12.75">
      <c r="A398" s="74"/>
      <c r="B398" s="30"/>
      <c r="C398" s="30"/>
      <c r="D398" s="30"/>
      <c r="E398" s="30"/>
      <c r="M398" s="76"/>
    </row>
    <row r="399" spans="1:13" ht="12.75">
      <c r="A399" s="74"/>
      <c r="B399" s="30"/>
      <c r="C399" s="30"/>
      <c r="D399" s="30"/>
      <c r="E399" s="30"/>
      <c r="M399" s="76"/>
    </row>
    <row r="400" spans="1:13" ht="12.75">
      <c r="A400" s="74"/>
      <c r="B400" s="30"/>
      <c r="C400" s="30"/>
      <c r="D400" s="30"/>
      <c r="E400" s="30"/>
      <c r="M400" s="76"/>
    </row>
    <row r="401" spans="1:13" ht="12.75">
      <c r="A401" s="74"/>
      <c r="B401" s="30"/>
      <c r="C401" s="30"/>
      <c r="D401" s="30"/>
      <c r="E401" s="30"/>
      <c r="M401" s="76"/>
    </row>
    <row r="402" spans="1:13" ht="12.75">
      <c r="A402" s="74"/>
      <c r="B402" s="30"/>
      <c r="C402" s="30"/>
      <c r="D402" s="30"/>
      <c r="E402" s="30"/>
      <c r="M402" s="76"/>
    </row>
    <row r="403" spans="1:13" ht="12.75">
      <c r="A403" s="74"/>
      <c r="B403" s="30"/>
      <c r="C403" s="30"/>
      <c r="D403" s="30"/>
      <c r="E403" s="30"/>
      <c r="M403" s="76"/>
    </row>
    <row r="404" spans="1:13" ht="12.75">
      <c r="A404" s="74"/>
      <c r="B404" s="30"/>
      <c r="C404" s="30"/>
      <c r="D404" s="30"/>
      <c r="E404" s="30"/>
      <c r="M404" s="76"/>
    </row>
    <row r="405" spans="1:13" ht="12.75">
      <c r="A405" s="74"/>
      <c r="B405" s="30"/>
      <c r="C405" s="30"/>
      <c r="D405" s="30"/>
      <c r="E405" s="30"/>
      <c r="M405" s="76"/>
    </row>
    <row r="406" spans="1:13" ht="12.75">
      <c r="A406" s="74"/>
      <c r="B406" s="30"/>
      <c r="C406" s="30"/>
      <c r="D406" s="30"/>
      <c r="E406" s="30"/>
      <c r="M406" s="76"/>
    </row>
    <row r="407" spans="1:13" ht="12.75">
      <c r="A407" s="74"/>
      <c r="B407" s="30"/>
      <c r="C407" s="30"/>
      <c r="D407" s="30"/>
      <c r="E407" s="30"/>
      <c r="M407" s="76"/>
    </row>
    <row r="408" spans="1:13" ht="12.75">
      <c r="A408" s="74"/>
      <c r="B408" s="30"/>
      <c r="C408" s="30"/>
      <c r="D408" s="30"/>
      <c r="E408" s="30"/>
      <c r="M408" s="76"/>
    </row>
    <row r="409" spans="1:13" ht="12.75">
      <c r="A409" s="74"/>
      <c r="B409" s="30"/>
      <c r="C409" s="30"/>
      <c r="D409" s="30"/>
      <c r="E409" s="30"/>
      <c r="M409" s="76"/>
    </row>
    <row r="410" spans="1:13" ht="12.75">
      <c r="A410" s="74"/>
      <c r="B410" s="30"/>
      <c r="C410" s="30"/>
      <c r="D410" s="30"/>
      <c r="E410" s="30"/>
      <c r="M410" s="76"/>
    </row>
    <row r="411" spans="1:13" ht="12.75">
      <c r="A411" s="74"/>
      <c r="B411" s="30"/>
      <c r="C411" s="30"/>
      <c r="D411" s="30"/>
      <c r="E411" s="30"/>
      <c r="M411" s="76"/>
    </row>
    <row r="412" spans="1:13" ht="12.75">
      <c r="A412" s="74"/>
      <c r="B412" s="30"/>
      <c r="C412" s="30"/>
      <c r="D412" s="30"/>
      <c r="E412" s="30"/>
      <c r="M412" s="76"/>
    </row>
    <row r="413" spans="1:13" ht="12.75">
      <c r="A413" s="74"/>
      <c r="B413" s="30"/>
      <c r="C413" s="30"/>
      <c r="D413" s="30"/>
      <c r="E413" s="30"/>
      <c r="M413" s="76"/>
    </row>
    <row r="414" spans="1:13" ht="12.75">
      <c r="A414" s="74"/>
      <c r="B414" s="30"/>
      <c r="C414" s="30"/>
      <c r="D414" s="30"/>
      <c r="E414" s="30"/>
      <c r="M414" s="76"/>
    </row>
    <row r="415" spans="1:13" ht="12.75">
      <c r="A415" s="74"/>
      <c r="B415" s="30"/>
      <c r="C415" s="30"/>
      <c r="D415" s="30"/>
      <c r="E415" s="30"/>
      <c r="M415" s="76"/>
    </row>
    <row r="416" spans="1:13" ht="12.75">
      <c r="A416" s="74"/>
      <c r="B416" s="30"/>
      <c r="C416" s="30"/>
      <c r="D416" s="30"/>
      <c r="E416" s="30"/>
      <c r="M416" s="76"/>
    </row>
    <row r="417" spans="1:13" ht="12.75">
      <c r="A417" s="74"/>
      <c r="B417" s="30"/>
      <c r="C417" s="30"/>
      <c r="D417" s="30"/>
      <c r="E417" s="30"/>
      <c r="M417" s="76"/>
    </row>
    <row r="418" spans="1:13" ht="12.75">
      <c r="A418" s="74"/>
      <c r="B418" s="30"/>
      <c r="C418" s="30"/>
      <c r="D418" s="30"/>
      <c r="E418" s="30"/>
      <c r="M418" s="76"/>
    </row>
    <row r="419" spans="1:13" ht="12.75">
      <c r="A419" s="74"/>
      <c r="B419" s="30"/>
      <c r="C419" s="30"/>
      <c r="D419" s="30"/>
      <c r="E419" s="30"/>
      <c r="M419" s="76"/>
    </row>
    <row r="420" spans="1:13" ht="12.75">
      <c r="A420" s="74"/>
      <c r="B420" s="30"/>
      <c r="C420" s="30"/>
      <c r="D420" s="30"/>
      <c r="E420" s="30"/>
      <c r="M420" s="76"/>
    </row>
    <row r="421" spans="1:13" ht="12.75">
      <c r="A421" s="74"/>
      <c r="B421" s="30"/>
      <c r="C421" s="30"/>
      <c r="D421" s="30"/>
      <c r="E421" s="30"/>
      <c r="M421" s="76"/>
    </row>
    <row r="422" spans="1:13" ht="12.75">
      <c r="A422" s="74"/>
      <c r="B422" s="30"/>
      <c r="C422" s="30"/>
      <c r="D422" s="30"/>
      <c r="E422" s="30"/>
      <c r="M422" s="76"/>
    </row>
    <row r="423" spans="1:13" ht="12.75">
      <c r="A423" s="74"/>
      <c r="B423" s="30"/>
      <c r="C423" s="30"/>
      <c r="D423" s="30"/>
      <c r="E423" s="30"/>
      <c r="M423" s="76"/>
    </row>
    <row r="424" spans="1:13" ht="12.75">
      <c r="A424" s="74"/>
      <c r="B424" s="30"/>
      <c r="C424" s="30"/>
      <c r="D424" s="30"/>
      <c r="E424" s="30"/>
      <c r="M424" s="76"/>
    </row>
    <row r="425" spans="1:13" ht="12.75">
      <c r="A425" s="74"/>
      <c r="B425" s="30"/>
      <c r="C425" s="30"/>
      <c r="D425" s="30"/>
      <c r="E425" s="30"/>
      <c r="M425" s="76"/>
    </row>
    <row r="426" spans="1:13" ht="12.75">
      <c r="A426" s="74"/>
      <c r="B426" s="30"/>
      <c r="C426" s="30"/>
      <c r="D426" s="30"/>
      <c r="E426" s="30"/>
      <c r="M426" s="76"/>
    </row>
    <row r="427" spans="1:13" ht="12.75">
      <c r="A427" s="74"/>
      <c r="B427" s="30"/>
      <c r="C427" s="30"/>
      <c r="D427" s="30"/>
      <c r="E427" s="30"/>
      <c r="M427" s="76"/>
    </row>
    <row r="428" spans="1:13" ht="12.75">
      <c r="A428" s="74"/>
      <c r="B428" s="30"/>
      <c r="C428" s="30"/>
      <c r="D428" s="30"/>
      <c r="E428" s="30"/>
      <c r="M428" s="76"/>
    </row>
    <row r="429" spans="1:13" ht="12.75">
      <c r="A429" s="74"/>
      <c r="B429" s="30"/>
      <c r="C429" s="30"/>
      <c r="D429" s="30"/>
      <c r="E429" s="30"/>
      <c r="M429" s="76"/>
    </row>
    <row r="430" spans="1:13" ht="12.75">
      <c r="A430" s="74"/>
      <c r="B430" s="30"/>
      <c r="C430" s="30"/>
      <c r="D430" s="30"/>
      <c r="E430" s="30"/>
      <c r="M430" s="76"/>
    </row>
    <row r="431" spans="1:13" ht="12.75">
      <c r="A431" s="74"/>
      <c r="B431" s="30"/>
      <c r="C431" s="30"/>
      <c r="D431" s="30"/>
      <c r="E431" s="30"/>
      <c r="M431" s="76"/>
    </row>
    <row r="432" spans="1:13" ht="12.75">
      <c r="A432" s="74"/>
      <c r="B432" s="30"/>
      <c r="C432" s="30"/>
      <c r="D432" s="30"/>
      <c r="E432" s="30"/>
      <c r="M432" s="76"/>
    </row>
    <row r="433" spans="1:13" ht="12.75">
      <c r="A433" s="74"/>
      <c r="B433" s="30"/>
      <c r="C433" s="30"/>
      <c r="D433" s="30"/>
      <c r="E433" s="30"/>
      <c r="M433" s="76"/>
    </row>
    <row r="434" spans="1:13" ht="12.75">
      <c r="A434" s="74"/>
      <c r="B434" s="30"/>
      <c r="C434" s="30"/>
      <c r="D434" s="30"/>
      <c r="E434" s="30"/>
      <c r="M434" s="76"/>
    </row>
    <row r="435" spans="1:13" ht="12.75">
      <c r="A435" s="74"/>
      <c r="B435" s="30"/>
      <c r="C435" s="30"/>
      <c r="D435" s="30"/>
      <c r="E435" s="30"/>
      <c r="M435" s="76"/>
    </row>
    <row r="436" spans="1:13" ht="12.75">
      <c r="A436" s="74"/>
      <c r="B436" s="30"/>
      <c r="C436" s="30"/>
      <c r="D436" s="30"/>
      <c r="E436" s="30"/>
      <c r="M436" s="76"/>
    </row>
    <row r="437" spans="1:13" ht="12.75">
      <c r="A437" s="74"/>
      <c r="B437" s="30"/>
      <c r="C437" s="30"/>
      <c r="D437" s="30"/>
      <c r="E437" s="30"/>
      <c r="M437" s="76"/>
    </row>
    <row r="438" spans="1:13" ht="12.75">
      <c r="A438" s="74"/>
      <c r="B438" s="30"/>
      <c r="C438" s="30"/>
      <c r="D438" s="30"/>
      <c r="E438" s="30"/>
      <c r="M438" s="76"/>
    </row>
    <row r="439" spans="1:13" ht="12.75">
      <c r="A439" s="74"/>
      <c r="B439" s="30"/>
      <c r="C439" s="30"/>
      <c r="D439" s="30"/>
      <c r="E439" s="30"/>
      <c r="M439" s="76"/>
    </row>
    <row r="440" spans="1:13" ht="12.75">
      <c r="A440" s="74"/>
      <c r="B440" s="30"/>
      <c r="C440" s="30"/>
      <c r="D440" s="30"/>
      <c r="E440" s="30"/>
      <c r="M440" s="76"/>
    </row>
    <row r="441" spans="1:13" ht="12.75">
      <c r="A441" s="74"/>
      <c r="B441" s="30"/>
      <c r="C441" s="30"/>
      <c r="D441" s="30"/>
      <c r="E441" s="30"/>
      <c r="M441" s="76"/>
    </row>
    <row r="442" spans="1:13" ht="12.75">
      <c r="A442" s="74"/>
      <c r="B442" s="30"/>
      <c r="C442" s="30"/>
      <c r="D442" s="30"/>
      <c r="E442" s="30"/>
      <c r="M442" s="76"/>
    </row>
    <row r="443" spans="1:13" ht="12.75">
      <c r="A443" s="74"/>
      <c r="B443" s="30"/>
      <c r="C443" s="30"/>
      <c r="D443" s="30"/>
      <c r="E443" s="30"/>
      <c r="M443" s="76"/>
    </row>
    <row r="444" spans="1:13" ht="12.75">
      <c r="A444" s="74"/>
      <c r="B444" s="30"/>
      <c r="C444" s="30"/>
      <c r="D444" s="30"/>
      <c r="E444" s="30"/>
      <c r="M444" s="76"/>
    </row>
    <row r="445" spans="1:13" ht="12.75">
      <c r="A445" s="74"/>
      <c r="B445" s="30"/>
      <c r="C445" s="30"/>
      <c r="D445" s="30"/>
      <c r="E445" s="30"/>
      <c r="M445" s="76"/>
    </row>
    <row r="446" spans="1:13" ht="12.75">
      <c r="A446" s="74"/>
      <c r="B446" s="30"/>
      <c r="C446" s="30"/>
      <c r="D446" s="30"/>
      <c r="E446" s="30"/>
      <c r="M446" s="76"/>
    </row>
    <row r="447" spans="1:13" ht="12.75">
      <c r="A447" s="74"/>
      <c r="B447" s="30"/>
      <c r="C447" s="30"/>
      <c r="D447" s="30"/>
      <c r="E447" s="30"/>
      <c r="M447" s="76"/>
    </row>
    <row r="448" spans="1:13" ht="12.75">
      <c r="A448" s="74"/>
      <c r="B448" s="30"/>
      <c r="C448" s="30"/>
      <c r="D448" s="30"/>
      <c r="E448" s="30"/>
      <c r="M448" s="76"/>
    </row>
    <row r="449" spans="1:13" ht="12.75">
      <c r="A449" s="74"/>
      <c r="B449" s="30"/>
      <c r="C449" s="30"/>
      <c r="D449" s="30"/>
      <c r="E449" s="30"/>
      <c r="M449" s="76"/>
    </row>
    <row r="450" spans="1:13" ht="12.75">
      <c r="A450" s="74"/>
      <c r="B450" s="30"/>
      <c r="C450" s="30"/>
      <c r="D450" s="30"/>
      <c r="E450" s="30"/>
      <c r="M450" s="76"/>
    </row>
    <row r="451" spans="1:13" ht="12.75">
      <c r="A451" s="74"/>
      <c r="B451" s="30"/>
      <c r="C451" s="30"/>
      <c r="D451" s="30"/>
      <c r="E451" s="30"/>
      <c r="M451" s="76"/>
    </row>
    <row r="452" spans="1:13" ht="12.75">
      <c r="A452" s="74"/>
      <c r="B452" s="30"/>
      <c r="C452" s="30"/>
      <c r="D452" s="30"/>
      <c r="E452" s="30"/>
      <c r="M452" s="76"/>
    </row>
    <row r="453" spans="1:13" ht="12.75">
      <c r="A453" s="74"/>
      <c r="B453" s="30"/>
      <c r="C453" s="30"/>
      <c r="D453" s="30"/>
      <c r="E453" s="30"/>
      <c r="M453" s="76"/>
    </row>
    <row r="454" spans="1:13" ht="12.75">
      <c r="A454" s="74"/>
      <c r="B454" s="30"/>
      <c r="C454" s="30"/>
      <c r="D454" s="30"/>
      <c r="E454" s="30"/>
      <c r="M454" s="76"/>
    </row>
    <row r="455" spans="1:13" ht="12.75">
      <c r="A455" s="74"/>
      <c r="B455" s="30"/>
      <c r="C455" s="30"/>
      <c r="D455" s="30"/>
      <c r="E455" s="30"/>
      <c r="M455" s="76"/>
    </row>
    <row r="456" spans="1:13" ht="12.75">
      <c r="A456" s="74"/>
      <c r="B456" s="30"/>
      <c r="C456" s="30"/>
      <c r="D456" s="30"/>
      <c r="E456" s="30"/>
      <c r="M456" s="76"/>
    </row>
    <row r="457" spans="1:13" ht="12.75">
      <c r="A457" s="74"/>
      <c r="B457" s="30"/>
      <c r="C457" s="30"/>
      <c r="D457" s="30"/>
      <c r="E457" s="30"/>
      <c r="M457" s="76"/>
    </row>
    <row r="458" spans="1:13" ht="12.75">
      <c r="A458" s="74"/>
      <c r="B458" s="30"/>
      <c r="C458" s="30"/>
      <c r="D458" s="30"/>
      <c r="E458" s="30"/>
      <c r="M458" s="76"/>
    </row>
    <row r="459" spans="1:13" ht="12.75">
      <c r="A459" s="74"/>
      <c r="B459" s="30"/>
      <c r="C459" s="30"/>
      <c r="D459" s="30"/>
      <c r="E459" s="30"/>
      <c r="M459" s="76"/>
    </row>
    <row r="460" spans="1:13" ht="12.75">
      <c r="A460" s="74"/>
      <c r="B460" s="30"/>
      <c r="C460" s="30"/>
      <c r="D460" s="30"/>
      <c r="E460" s="30"/>
      <c r="M460" s="76"/>
    </row>
    <row r="461" spans="1:13" ht="12.75">
      <c r="A461" s="74"/>
      <c r="B461" s="30"/>
      <c r="C461" s="30"/>
      <c r="D461" s="30"/>
      <c r="E461" s="30"/>
      <c r="M461" s="76"/>
    </row>
    <row r="462" spans="1:13" ht="12.75">
      <c r="A462" s="74"/>
      <c r="B462" s="30"/>
      <c r="C462" s="30"/>
      <c r="D462" s="30"/>
      <c r="E462" s="30"/>
      <c r="M462" s="76"/>
    </row>
    <row r="463" spans="1:13" ht="12.75">
      <c r="A463" s="74"/>
      <c r="B463" s="30"/>
      <c r="C463" s="30"/>
      <c r="D463" s="30"/>
      <c r="E463" s="30"/>
      <c r="M463" s="76"/>
    </row>
    <row r="464" spans="1:13" ht="12.75">
      <c r="A464" s="74"/>
      <c r="B464" s="30"/>
      <c r="C464" s="30"/>
      <c r="D464" s="30"/>
      <c r="E464" s="30"/>
      <c r="M464" s="76"/>
    </row>
    <row r="465" spans="1:13" ht="12.75">
      <c r="A465" s="74"/>
      <c r="B465" s="30"/>
      <c r="C465" s="30"/>
      <c r="D465" s="30"/>
      <c r="E465" s="30"/>
      <c r="M465" s="76"/>
    </row>
    <row r="466" spans="1:13" ht="12.75">
      <c r="A466" s="74"/>
      <c r="B466" s="30"/>
      <c r="C466" s="30"/>
      <c r="D466" s="30"/>
      <c r="E466" s="30"/>
      <c r="M466" s="76"/>
    </row>
    <row r="467" spans="1:13" ht="12.75">
      <c r="A467" s="74"/>
      <c r="B467" s="30"/>
      <c r="C467" s="30"/>
      <c r="D467" s="30"/>
      <c r="E467" s="30"/>
      <c r="M467" s="76"/>
    </row>
    <row r="468" spans="1:13" ht="12.75">
      <c r="A468" s="74"/>
      <c r="B468" s="30"/>
      <c r="C468" s="30"/>
      <c r="D468" s="30"/>
      <c r="E468" s="30"/>
      <c r="M468" s="76"/>
    </row>
    <row r="469" spans="1:13" ht="12.75">
      <c r="A469" s="74"/>
      <c r="B469" s="30"/>
      <c r="C469" s="30"/>
      <c r="D469" s="30"/>
      <c r="E469" s="30"/>
      <c r="M469" s="76"/>
    </row>
    <row r="470" spans="1:13" ht="12.75">
      <c r="A470" s="74"/>
      <c r="B470" s="30"/>
      <c r="C470" s="30"/>
      <c r="D470" s="30"/>
      <c r="E470" s="30"/>
      <c r="M470" s="76"/>
    </row>
    <row r="471" spans="1:13" ht="12.75">
      <c r="A471" s="74"/>
      <c r="B471" s="30"/>
      <c r="C471" s="30"/>
      <c r="D471" s="30"/>
      <c r="E471" s="30"/>
      <c r="M471" s="76"/>
    </row>
    <row r="472" spans="1:13" ht="12.75">
      <c r="A472" s="74"/>
      <c r="B472" s="30"/>
      <c r="C472" s="30"/>
      <c r="D472" s="30"/>
      <c r="E472" s="30"/>
      <c r="M472" s="76"/>
    </row>
    <row r="473" spans="1:13" ht="12.75">
      <c r="A473" s="74"/>
      <c r="B473" s="30"/>
      <c r="C473" s="30"/>
      <c r="D473" s="30"/>
      <c r="E473" s="30"/>
      <c r="M473" s="76"/>
    </row>
    <row r="474" spans="1:13" ht="12.75">
      <c r="A474" s="74"/>
      <c r="B474" s="30"/>
      <c r="C474" s="30"/>
      <c r="D474" s="30"/>
      <c r="E474" s="30"/>
      <c r="M474" s="76"/>
    </row>
    <row r="475" spans="1:13" ht="12.75">
      <c r="A475" s="74"/>
      <c r="B475" s="30"/>
      <c r="C475" s="30"/>
      <c r="D475" s="30"/>
      <c r="E475" s="30"/>
      <c r="M475" s="76"/>
    </row>
    <row r="476" spans="1:13" ht="12.75">
      <c r="A476" s="74"/>
      <c r="B476" s="30"/>
      <c r="C476" s="30"/>
      <c r="D476" s="30"/>
      <c r="E476" s="30"/>
      <c r="M476" s="76"/>
    </row>
    <row r="477" spans="1:13" ht="12.75">
      <c r="A477" s="74"/>
      <c r="B477" s="30"/>
      <c r="C477" s="30"/>
      <c r="D477" s="30"/>
      <c r="E477" s="30"/>
      <c r="M477" s="76"/>
    </row>
    <row r="478" spans="1:13" ht="12.75">
      <c r="A478" s="74"/>
      <c r="B478" s="30"/>
      <c r="C478" s="30"/>
      <c r="D478" s="30"/>
      <c r="E478" s="30"/>
      <c r="M478" s="76"/>
    </row>
    <row r="479" spans="1:13" ht="12.75">
      <c r="A479" s="74"/>
      <c r="B479" s="30"/>
      <c r="C479" s="30"/>
      <c r="D479" s="30"/>
      <c r="E479" s="30"/>
      <c r="M479" s="76"/>
    </row>
    <row r="480" spans="1:13" ht="12.75">
      <c r="A480" s="74"/>
      <c r="B480" s="30"/>
      <c r="C480" s="30"/>
      <c r="D480" s="30"/>
      <c r="E480" s="30"/>
      <c r="M480" s="76"/>
    </row>
    <row r="481" spans="1:13" ht="12.75">
      <c r="A481" s="74"/>
      <c r="B481" s="30"/>
      <c r="C481" s="30"/>
      <c r="D481" s="30"/>
      <c r="E481" s="30"/>
      <c r="M481" s="76"/>
    </row>
    <row r="482" spans="1:13" ht="12.75">
      <c r="A482" s="74"/>
      <c r="B482" s="30"/>
      <c r="C482" s="30"/>
      <c r="D482" s="30"/>
      <c r="E482" s="30"/>
      <c r="M482" s="76"/>
    </row>
    <row r="483" spans="1:13" ht="12.75">
      <c r="A483" s="74"/>
      <c r="B483" s="30"/>
      <c r="C483" s="30"/>
      <c r="D483" s="30"/>
      <c r="E483" s="30"/>
      <c r="M483" s="76"/>
    </row>
    <row r="484" spans="1:13" ht="12.75">
      <c r="A484" s="74"/>
      <c r="B484" s="30"/>
      <c r="C484" s="30"/>
      <c r="D484" s="30"/>
      <c r="E484" s="30"/>
      <c r="M484" s="76"/>
    </row>
    <row r="485" spans="1:13" ht="12.75">
      <c r="A485" s="74"/>
      <c r="B485" s="30"/>
      <c r="C485" s="30"/>
      <c r="D485" s="30"/>
      <c r="E485" s="30"/>
      <c r="M485" s="76"/>
    </row>
    <row r="486" spans="1:13" ht="12.75">
      <c r="A486" s="74"/>
      <c r="B486" s="30"/>
      <c r="C486" s="30"/>
      <c r="D486" s="30"/>
      <c r="E486" s="30"/>
      <c r="M486" s="76"/>
    </row>
    <row r="487" spans="1:13" ht="12.75">
      <c r="A487" s="74"/>
      <c r="B487" s="30"/>
      <c r="C487" s="30"/>
      <c r="D487" s="30"/>
      <c r="E487" s="30"/>
      <c r="M487" s="76"/>
    </row>
    <row r="488" spans="1:13" ht="12.75">
      <c r="A488" s="74"/>
      <c r="B488" s="30"/>
      <c r="C488" s="30"/>
      <c r="D488" s="30"/>
      <c r="E488" s="30"/>
      <c r="M488" s="76"/>
    </row>
    <row r="489" spans="1:13" ht="12.75">
      <c r="A489" s="74"/>
      <c r="B489" s="30"/>
      <c r="C489" s="30"/>
      <c r="D489" s="30"/>
      <c r="E489" s="30"/>
      <c r="M489" s="76"/>
    </row>
    <row r="490" spans="1:13" ht="12.75">
      <c r="A490" s="74"/>
      <c r="B490" s="30"/>
      <c r="C490" s="30"/>
      <c r="D490" s="30"/>
      <c r="E490" s="30"/>
      <c r="M490" s="76"/>
    </row>
    <row r="491" spans="1:13" ht="12.75">
      <c r="A491" s="74"/>
      <c r="B491" s="30"/>
      <c r="C491" s="30"/>
      <c r="D491" s="30"/>
      <c r="E491" s="30"/>
      <c r="M491" s="76"/>
    </row>
    <row r="492" spans="1:13" ht="12.75">
      <c r="A492" s="74"/>
      <c r="B492" s="30"/>
      <c r="C492" s="30"/>
      <c r="D492" s="30"/>
      <c r="E492" s="30"/>
      <c r="M492" s="76"/>
    </row>
    <row r="493" spans="1:13" ht="12.75">
      <c r="A493" s="74"/>
      <c r="B493" s="30"/>
      <c r="C493" s="30"/>
      <c r="D493" s="30"/>
      <c r="E493" s="30"/>
      <c r="M493" s="76"/>
    </row>
    <row r="494" spans="1:13" ht="12.75">
      <c r="A494" s="74"/>
      <c r="B494" s="30"/>
      <c r="C494" s="30"/>
      <c r="D494" s="30"/>
      <c r="E494" s="30"/>
      <c r="M494" s="76"/>
    </row>
    <row r="495" spans="1:13" ht="12.75">
      <c r="A495" s="74"/>
      <c r="B495" s="30"/>
      <c r="C495" s="30"/>
      <c r="D495" s="30"/>
      <c r="E495" s="30"/>
      <c r="M495" s="76"/>
    </row>
    <row r="496" spans="1:13" ht="12.75">
      <c r="A496" s="74"/>
      <c r="B496" s="30"/>
      <c r="C496" s="30"/>
      <c r="D496" s="30"/>
      <c r="E496" s="30"/>
      <c r="M496" s="76"/>
    </row>
    <row r="497" spans="1:13" ht="12.75">
      <c r="A497" s="74"/>
      <c r="B497" s="30"/>
      <c r="C497" s="30"/>
      <c r="D497" s="30"/>
      <c r="E497" s="30"/>
      <c r="M497" s="76"/>
    </row>
    <row r="498" spans="1:13" ht="12.75">
      <c r="A498" s="74"/>
      <c r="B498" s="30"/>
      <c r="C498" s="30"/>
      <c r="D498" s="30"/>
      <c r="E498" s="30"/>
      <c r="M498" s="76"/>
    </row>
    <row r="499" spans="1:13" ht="12.75">
      <c r="A499" s="74"/>
      <c r="B499" s="30"/>
      <c r="C499" s="30"/>
      <c r="D499" s="30"/>
      <c r="E499" s="30"/>
      <c r="M499" s="76"/>
    </row>
    <row r="500" spans="1:13" ht="12.75">
      <c r="A500" s="74"/>
      <c r="B500" s="30"/>
      <c r="C500" s="30"/>
      <c r="D500" s="30"/>
      <c r="E500" s="30"/>
      <c r="M500" s="76"/>
    </row>
    <row r="501" spans="1:13" ht="12.75">
      <c r="A501" s="74"/>
      <c r="B501" s="30"/>
      <c r="C501" s="30"/>
      <c r="D501" s="30"/>
      <c r="E501" s="30"/>
      <c r="M501" s="76"/>
    </row>
    <row r="502" spans="1:13" ht="12.75">
      <c r="A502" s="74"/>
      <c r="B502" s="30"/>
      <c r="C502" s="30"/>
      <c r="D502" s="30"/>
      <c r="E502" s="30"/>
      <c r="M502" s="76"/>
    </row>
    <row r="503" spans="1:13" ht="12.75">
      <c r="A503" s="74"/>
      <c r="B503" s="30"/>
      <c r="C503" s="30"/>
      <c r="D503" s="30"/>
      <c r="E503" s="30"/>
      <c r="M503" s="76"/>
    </row>
    <row r="504" spans="1:13" ht="12.75">
      <c r="A504" s="74"/>
      <c r="B504" s="30"/>
      <c r="C504" s="30"/>
      <c r="D504" s="30"/>
      <c r="E504" s="30"/>
      <c r="M504" s="76"/>
    </row>
    <row r="505" spans="1:13" ht="12.75">
      <c r="A505" s="74"/>
      <c r="B505" s="30"/>
      <c r="C505" s="30"/>
      <c r="D505" s="30"/>
      <c r="E505" s="30"/>
      <c r="M505" s="76"/>
    </row>
    <row r="506" spans="1:13" ht="12.75">
      <c r="A506" s="74"/>
      <c r="B506" s="30"/>
      <c r="C506" s="30"/>
      <c r="D506" s="30"/>
      <c r="E506" s="30"/>
      <c r="M506" s="76"/>
    </row>
    <row r="507" spans="1:13" ht="12.75">
      <c r="A507" s="74"/>
      <c r="B507" s="30"/>
      <c r="C507" s="30"/>
      <c r="D507" s="30"/>
      <c r="E507" s="30"/>
      <c r="M507" s="76"/>
    </row>
    <row r="508" spans="1:13" ht="12.75">
      <c r="A508" s="74"/>
      <c r="B508" s="30"/>
      <c r="C508" s="30"/>
      <c r="D508" s="30"/>
      <c r="E508" s="30"/>
      <c r="M508" s="76"/>
    </row>
    <row r="509" spans="1:13" ht="12.75">
      <c r="A509" s="74"/>
      <c r="B509" s="30"/>
      <c r="C509" s="30"/>
      <c r="D509" s="30"/>
      <c r="E509" s="30"/>
      <c r="M509" s="76"/>
    </row>
    <row r="510" spans="1:13" ht="12.75">
      <c r="A510" s="74"/>
      <c r="B510" s="30"/>
      <c r="C510" s="30"/>
      <c r="D510" s="30"/>
      <c r="E510" s="30"/>
      <c r="M510" s="76"/>
    </row>
    <row r="511" spans="1:13" ht="12.75">
      <c r="A511" s="74"/>
      <c r="B511" s="30"/>
      <c r="C511" s="30"/>
      <c r="D511" s="30"/>
      <c r="E511" s="30"/>
      <c r="M511" s="76"/>
    </row>
    <row r="512" spans="1:13" ht="12.75">
      <c r="A512" s="74"/>
      <c r="B512" s="30"/>
      <c r="C512" s="30"/>
      <c r="D512" s="30"/>
      <c r="E512" s="30"/>
      <c r="M512" s="76"/>
    </row>
    <row r="513" spans="1:13" ht="12.75">
      <c r="A513" s="74"/>
      <c r="B513" s="30"/>
      <c r="C513" s="30"/>
      <c r="D513" s="30"/>
      <c r="E513" s="30"/>
      <c r="M513" s="76"/>
    </row>
    <row r="514" spans="1:13" ht="12.75">
      <c r="A514" s="74"/>
      <c r="B514" s="30"/>
      <c r="C514" s="30"/>
      <c r="D514" s="30"/>
      <c r="E514" s="30"/>
      <c r="M514" s="76"/>
    </row>
    <row r="515" spans="1:13" ht="12.75">
      <c r="A515" s="74"/>
      <c r="B515" s="30"/>
      <c r="C515" s="30"/>
      <c r="D515" s="30"/>
      <c r="E515" s="30"/>
      <c r="M515" s="76"/>
    </row>
    <row r="516" spans="1:13" ht="12.75">
      <c r="A516" s="74"/>
      <c r="B516" s="30"/>
      <c r="C516" s="30"/>
      <c r="D516" s="30"/>
      <c r="E516" s="30"/>
      <c r="M516" s="76"/>
    </row>
    <row r="517" spans="1:13" ht="12.75">
      <c r="A517" s="74"/>
      <c r="B517" s="30"/>
      <c r="C517" s="30"/>
      <c r="D517" s="30"/>
      <c r="E517" s="30"/>
      <c r="M517" s="76"/>
    </row>
    <row r="518" spans="1:13" ht="12.75">
      <c r="A518" s="74"/>
      <c r="B518" s="30"/>
      <c r="C518" s="30"/>
      <c r="D518" s="30"/>
      <c r="E518" s="30"/>
      <c r="M518" s="76"/>
    </row>
    <row r="519" spans="1:13" ht="12.75">
      <c r="A519" s="74"/>
      <c r="B519" s="30"/>
      <c r="C519" s="30"/>
      <c r="D519" s="30"/>
      <c r="E519" s="30"/>
      <c r="M519" s="76"/>
    </row>
    <row r="520" spans="1:13" ht="12.75">
      <c r="A520" s="74"/>
      <c r="B520" s="30"/>
      <c r="C520" s="30"/>
      <c r="D520" s="30"/>
      <c r="E520" s="30"/>
      <c r="M520" s="76"/>
    </row>
    <row r="521" spans="1:13" ht="12.75">
      <c r="A521" s="74"/>
      <c r="B521" s="30"/>
      <c r="C521" s="30"/>
      <c r="D521" s="30"/>
      <c r="E521" s="30"/>
      <c r="M521" s="76"/>
    </row>
    <row r="522" spans="1:13" ht="12.75">
      <c r="A522" s="74"/>
      <c r="B522" s="30"/>
      <c r="C522" s="30"/>
      <c r="D522" s="30"/>
      <c r="E522" s="30"/>
      <c r="M522" s="76"/>
    </row>
    <row r="523" spans="1:13" ht="12.75">
      <c r="A523" s="74"/>
      <c r="B523" s="30"/>
      <c r="C523" s="30"/>
      <c r="D523" s="30"/>
      <c r="E523" s="30"/>
      <c r="M523" s="76"/>
    </row>
    <row r="524" spans="1:13" ht="12.75">
      <c r="A524" s="74"/>
      <c r="B524" s="30"/>
      <c r="C524" s="30"/>
      <c r="D524" s="30"/>
      <c r="E524" s="30"/>
      <c r="M524" s="76"/>
    </row>
    <row r="525" spans="1:13" ht="12.75">
      <c r="A525" s="74"/>
      <c r="B525" s="30"/>
      <c r="C525" s="30"/>
      <c r="D525" s="30"/>
      <c r="E525" s="30"/>
      <c r="M525" s="76"/>
    </row>
    <row r="526" spans="1:13" ht="12.75">
      <c r="A526" s="74"/>
      <c r="B526" s="30"/>
      <c r="C526" s="30"/>
      <c r="D526" s="30"/>
      <c r="E526" s="30"/>
      <c r="M526" s="76"/>
    </row>
    <row r="527" spans="1:13" ht="12.75">
      <c r="A527" s="74"/>
      <c r="B527" s="30"/>
      <c r="C527" s="30"/>
      <c r="D527" s="30"/>
      <c r="E527" s="30"/>
      <c r="M527" s="76"/>
    </row>
    <row r="528" spans="1:13" ht="12.75">
      <c r="A528" s="74"/>
      <c r="B528" s="30"/>
      <c r="C528" s="30"/>
      <c r="D528" s="30"/>
      <c r="E528" s="30"/>
      <c r="M528" s="76"/>
    </row>
    <row r="529" spans="1:13" ht="12.75">
      <c r="A529" s="74"/>
      <c r="B529" s="30"/>
      <c r="C529" s="30"/>
      <c r="D529" s="30"/>
      <c r="E529" s="30"/>
      <c r="M529" s="76"/>
    </row>
    <row r="530" spans="1:13" ht="12.75">
      <c r="A530" s="74"/>
      <c r="B530" s="30"/>
      <c r="C530" s="30"/>
      <c r="D530" s="30"/>
      <c r="E530" s="30"/>
      <c r="M530" s="76"/>
    </row>
    <row r="531" spans="1:13" ht="12.75">
      <c r="A531" s="74"/>
      <c r="B531" s="30"/>
      <c r="C531" s="30"/>
      <c r="D531" s="30"/>
      <c r="E531" s="30"/>
      <c r="M531" s="76"/>
    </row>
    <row r="532" spans="1:13" ht="12.75">
      <c r="A532" s="74"/>
      <c r="B532" s="30"/>
      <c r="C532" s="30"/>
      <c r="D532" s="30"/>
      <c r="E532" s="30"/>
      <c r="M532" s="76"/>
    </row>
    <row r="533" spans="1:13" ht="12.75">
      <c r="A533" s="74"/>
      <c r="B533" s="30"/>
      <c r="C533" s="30"/>
      <c r="D533" s="30"/>
      <c r="E533" s="30"/>
      <c r="M533" s="76"/>
    </row>
    <row r="534" spans="1:13" ht="12.75">
      <c r="A534" s="74"/>
      <c r="B534" s="30"/>
      <c r="C534" s="30"/>
      <c r="D534" s="30"/>
      <c r="E534" s="30"/>
      <c r="M534" s="76"/>
    </row>
    <row r="535" spans="1:13" ht="12.75">
      <c r="A535" s="74"/>
      <c r="B535" s="30"/>
      <c r="C535" s="30"/>
      <c r="D535" s="30"/>
      <c r="E535" s="30"/>
      <c r="M535" s="76"/>
    </row>
    <row r="536" spans="1:13" ht="12.75">
      <c r="A536" s="74"/>
      <c r="B536" s="30"/>
      <c r="C536" s="30"/>
      <c r="D536" s="30"/>
      <c r="E536" s="30"/>
      <c r="M536" s="76"/>
    </row>
    <row r="537" spans="1:13" ht="12.75">
      <c r="A537" s="74"/>
      <c r="B537" s="30"/>
      <c r="C537" s="30"/>
      <c r="D537" s="30"/>
      <c r="E537" s="30"/>
      <c r="M537" s="76"/>
    </row>
    <row r="538" spans="1:13" ht="12.75">
      <c r="A538" s="74"/>
      <c r="B538" s="30"/>
      <c r="C538" s="30"/>
      <c r="D538" s="30"/>
      <c r="E538" s="30"/>
      <c r="M538" s="76"/>
    </row>
    <row r="539" spans="1:13" ht="12.75">
      <c r="A539" s="74"/>
      <c r="B539" s="30"/>
      <c r="C539" s="30"/>
      <c r="D539" s="30"/>
      <c r="E539" s="30"/>
      <c r="M539" s="76"/>
    </row>
    <row r="540" spans="1:13" ht="12.75">
      <c r="A540" s="74"/>
      <c r="B540" s="30"/>
      <c r="C540" s="30"/>
      <c r="D540" s="30"/>
      <c r="E540" s="30"/>
      <c r="M540" s="76"/>
    </row>
    <row r="541" spans="1:13" ht="12.75">
      <c r="A541" s="74"/>
      <c r="B541" s="30"/>
      <c r="C541" s="30"/>
      <c r="D541" s="30"/>
      <c r="E541" s="30"/>
      <c r="M541" s="76"/>
    </row>
    <row r="542" spans="1:13" ht="12.75">
      <c r="A542" s="74"/>
      <c r="B542" s="30"/>
      <c r="C542" s="30"/>
      <c r="D542" s="30"/>
      <c r="E542" s="30"/>
      <c r="M542" s="76"/>
    </row>
    <row r="543" spans="1:13" ht="12.75">
      <c r="A543" s="74"/>
      <c r="B543" s="30"/>
      <c r="C543" s="30"/>
      <c r="D543" s="30"/>
      <c r="E543" s="30"/>
      <c r="M543" s="76"/>
    </row>
    <row r="544" spans="1:13" ht="12.75">
      <c r="A544" s="74"/>
      <c r="B544" s="30"/>
      <c r="C544" s="30"/>
      <c r="D544" s="30"/>
      <c r="E544" s="30"/>
      <c r="M544" s="76"/>
    </row>
    <row r="545" spans="1:13" ht="12.75">
      <c r="A545" s="74"/>
      <c r="B545" s="30"/>
      <c r="C545" s="30"/>
      <c r="D545" s="30"/>
      <c r="E545" s="30"/>
      <c r="M545" s="76"/>
    </row>
    <row r="546" spans="1:13" ht="12.75">
      <c r="A546" s="74"/>
      <c r="B546" s="30"/>
      <c r="C546" s="30"/>
      <c r="D546" s="30"/>
      <c r="E546" s="30"/>
      <c r="M546" s="76"/>
    </row>
    <row r="547" spans="1:13" ht="12.75">
      <c r="A547" s="74"/>
      <c r="B547" s="30"/>
      <c r="C547" s="30"/>
      <c r="D547" s="30"/>
      <c r="E547" s="30"/>
      <c r="M547" s="76"/>
    </row>
    <row r="548" spans="1:13" ht="12.75">
      <c r="A548" s="74"/>
      <c r="B548" s="30"/>
      <c r="C548" s="30"/>
      <c r="D548" s="30"/>
      <c r="E548" s="30"/>
      <c r="M548" s="76"/>
    </row>
    <row r="549" spans="1:13" ht="12.75">
      <c r="A549" s="74"/>
      <c r="B549" s="30"/>
      <c r="C549" s="30"/>
      <c r="D549" s="30"/>
      <c r="E549" s="30"/>
      <c r="M549" s="76"/>
    </row>
    <row r="550" spans="1:13" ht="12.75">
      <c r="A550" s="74"/>
      <c r="B550" s="30"/>
      <c r="C550" s="30"/>
      <c r="D550" s="30"/>
      <c r="E550" s="30"/>
      <c r="M550" s="76"/>
    </row>
    <row r="551" spans="1:13" ht="12.75">
      <c r="A551" s="74"/>
      <c r="B551" s="30"/>
      <c r="C551" s="30"/>
      <c r="D551" s="30"/>
      <c r="E551" s="30"/>
      <c r="M551" s="76"/>
    </row>
    <row r="552" spans="1:13" ht="12.75">
      <c r="A552" s="74"/>
      <c r="B552" s="30"/>
      <c r="C552" s="30"/>
      <c r="D552" s="30"/>
      <c r="E552" s="30"/>
      <c r="M552" s="76"/>
    </row>
    <row r="553" spans="1:13" ht="12.75">
      <c r="A553" s="74"/>
      <c r="B553" s="30"/>
      <c r="C553" s="30"/>
      <c r="D553" s="30"/>
      <c r="E553" s="30"/>
      <c r="M553" s="76"/>
    </row>
    <row r="554" spans="1:13" ht="12.75">
      <c r="A554" s="74"/>
      <c r="B554" s="30"/>
      <c r="C554" s="30"/>
      <c r="D554" s="30"/>
      <c r="E554" s="30"/>
      <c r="M554" s="76"/>
    </row>
    <row r="555" spans="1:13" ht="12.75">
      <c r="A555" s="74"/>
      <c r="B555" s="30"/>
      <c r="C555" s="30"/>
      <c r="D555" s="30"/>
      <c r="E555" s="30"/>
      <c r="M555" s="76"/>
    </row>
    <row r="556" spans="1:13" ht="12.75">
      <c r="A556" s="74"/>
      <c r="B556" s="30"/>
      <c r="C556" s="30"/>
      <c r="D556" s="30"/>
      <c r="E556" s="30"/>
      <c r="M556" s="76"/>
    </row>
    <row r="557" spans="1:13" ht="12.75">
      <c r="A557" s="74"/>
      <c r="B557" s="30"/>
      <c r="C557" s="30"/>
      <c r="D557" s="30"/>
      <c r="E557" s="30"/>
      <c r="M557" s="76"/>
    </row>
    <row r="558" spans="1:13" ht="12.75">
      <c r="A558" s="74"/>
      <c r="B558" s="30"/>
      <c r="C558" s="30"/>
      <c r="D558" s="30"/>
      <c r="E558" s="30"/>
      <c r="M558" s="76"/>
    </row>
    <row r="559" spans="1:13" ht="12.75">
      <c r="A559" s="74"/>
      <c r="B559" s="30"/>
      <c r="C559" s="30"/>
      <c r="D559" s="30"/>
      <c r="E559" s="30"/>
      <c r="M559" s="76"/>
    </row>
    <row r="560" spans="1:13" ht="12.75">
      <c r="A560" s="74"/>
      <c r="B560" s="30"/>
      <c r="C560" s="30"/>
      <c r="D560" s="30"/>
      <c r="E560" s="30"/>
      <c r="M560" s="76"/>
    </row>
    <row r="561" spans="1:13" ht="12.75">
      <c r="A561" s="74"/>
      <c r="B561" s="30"/>
      <c r="C561" s="30"/>
      <c r="D561" s="30"/>
      <c r="E561" s="30"/>
      <c r="M561" s="76"/>
    </row>
    <row r="562" spans="1:13" ht="12.75">
      <c r="A562" s="74"/>
      <c r="B562" s="30"/>
      <c r="C562" s="30"/>
      <c r="D562" s="30"/>
      <c r="E562" s="30"/>
      <c r="M562" s="76"/>
    </row>
    <row r="563" spans="1:13" ht="12.75">
      <c r="A563" s="74"/>
      <c r="B563" s="30"/>
      <c r="C563" s="30"/>
      <c r="D563" s="30"/>
      <c r="E563" s="30"/>
      <c r="M563" s="76"/>
    </row>
    <row r="564" spans="1:13" ht="12.75">
      <c r="A564" s="74"/>
      <c r="B564" s="30"/>
      <c r="C564" s="30"/>
      <c r="D564" s="30"/>
      <c r="E564" s="30"/>
      <c r="M564" s="76"/>
    </row>
    <row r="565" spans="1:13" ht="12.75">
      <c r="A565" s="74"/>
      <c r="B565" s="30"/>
      <c r="C565" s="30"/>
      <c r="D565" s="30"/>
      <c r="E565" s="30"/>
      <c r="M565" s="76"/>
    </row>
    <row r="566" spans="1:13" ht="12.75">
      <c r="A566" s="74"/>
      <c r="B566" s="30"/>
      <c r="C566" s="30"/>
      <c r="D566" s="30"/>
      <c r="E566" s="30"/>
      <c r="M566" s="76"/>
    </row>
    <row r="567" spans="1:13" ht="12.75">
      <c r="A567" s="74"/>
      <c r="B567" s="30"/>
      <c r="C567" s="30"/>
      <c r="D567" s="30"/>
      <c r="E567" s="30"/>
      <c r="M567" s="76"/>
    </row>
    <row r="568" spans="1:13" ht="12.75">
      <c r="A568" s="74"/>
      <c r="B568" s="30"/>
      <c r="C568" s="30"/>
      <c r="D568" s="30"/>
      <c r="E568" s="30"/>
      <c r="M568" s="76"/>
    </row>
    <row r="569" spans="1:13" ht="12.75">
      <c r="A569" s="74"/>
      <c r="B569" s="30"/>
      <c r="C569" s="30"/>
      <c r="D569" s="30"/>
      <c r="E569" s="30"/>
      <c r="M569" s="76"/>
    </row>
    <row r="570" spans="1:13" ht="12.75">
      <c r="A570" s="74"/>
      <c r="B570" s="30"/>
      <c r="C570" s="30"/>
      <c r="D570" s="30"/>
      <c r="E570" s="30"/>
      <c r="M570" s="76"/>
    </row>
    <row r="571" spans="1:13" ht="12.75">
      <c r="A571" s="74"/>
      <c r="B571" s="30"/>
      <c r="C571" s="30"/>
      <c r="D571" s="30"/>
      <c r="E571" s="30"/>
      <c r="M571" s="76"/>
    </row>
    <row r="572" spans="1:13" ht="12.75">
      <c r="A572" s="74"/>
      <c r="B572" s="30"/>
      <c r="C572" s="30"/>
      <c r="D572" s="30"/>
      <c r="E572" s="30"/>
      <c r="M572" s="76"/>
    </row>
    <row r="573" spans="1:13" ht="12.75">
      <c r="A573" s="74"/>
      <c r="B573" s="30"/>
      <c r="C573" s="30"/>
      <c r="D573" s="30"/>
      <c r="E573" s="30"/>
      <c r="M573" s="76"/>
    </row>
    <row r="574" spans="1:13" ht="12.75">
      <c r="A574" s="74"/>
      <c r="B574" s="30"/>
      <c r="C574" s="30"/>
      <c r="D574" s="30"/>
      <c r="E574" s="30"/>
      <c r="M574" s="76"/>
    </row>
    <row r="575" spans="1:13" ht="12.75">
      <c r="A575" s="74"/>
      <c r="B575" s="30"/>
      <c r="C575" s="30"/>
      <c r="D575" s="30"/>
      <c r="E575" s="30"/>
      <c r="M575" s="76"/>
    </row>
    <row r="576" spans="1:13" ht="12.75">
      <c r="A576" s="74"/>
      <c r="B576" s="30"/>
      <c r="C576" s="30"/>
      <c r="D576" s="30"/>
      <c r="E576" s="30"/>
      <c r="M576" s="76"/>
    </row>
    <row r="577" spans="1:13" ht="12.75">
      <c r="A577" s="74"/>
      <c r="B577" s="30"/>
      <c r="C577" s="30"/>
      <c r="D577" s="30"/>
      <c r="E577" s="30"/>
      <c r="M577" s="76"/>
    </row>
    <row r="578" spans="1:13" ht="12.75">
      <c r="A578" s="74"/>
      <c r="B578" s="30"/>
      <c r="C578" s="30"/>
      <c r="D578" s="30"/>
      <c r="E578" s="30"/>
      <c r="M578" s="76"/>
    </row>
    <row r="579" spans="1:13" ht="12.75">
      <c r="A579" s="74"/>
      <c r="B579" s="30"/>
      <c r="C579" s="30"/>
      <c r="D579" s="30"/>
      <c r="E579" s="30"/>
      <c r="M579" s="76"/>
    </row>
    <row r="580" spans="1:13" ht="12.75">
      <c r="A580" s="74"/>
      <c r="B580" s="30"/>
      <c r="C580" s="30"/>
      <c r="D580" s="30"/>
      <c r="E580" s="30"/>
      <c r="M580" s="76"/>
    </row>
    <row r="581" spans="1:13" ht="12.75">
      <c r="A581" s="74"/>
      <c r="B581" s="30"/>
      <c r="C581" s="30"/>
      <c r="D581" s="30"/>
      <c r="E581" s="30"/>
      <c r="M581" s="76"/>
    </row>
    <row r="582" spans="1:13" ht="12.75">
      <c r="A582" s="74"/>
      <c r="B582" s="30"/>
      <c r="C582" s="30"/>
      <c r="D582" s="30"/>
      <c r="E582" s="30"/>
      <c r="M582" s="76"/>
    </row>
    <row r="583" spans="1:13" ht="12.75">
      <c r="A583" s="74"/>
      <c r="B583" s="30"/>
      <c r="C583" s="30"/>
      <c r="D583" s="30"/>
      <c r="E583" s="30"/>
      <c r="M583" s="76"/>
    </row>
    <row r="584" spans="1:13" ht="12.75">
      <c r="A584" s="74"/>
      <c r="B584" s="30"/>
      <c r="C584" s="30"/>
      <c r="D584" s="30"/>
      <c r="E584" s="30"/>
      <c r="M584" s="76"/>
    </row>
    <row r="585" spans="1:13" ht="12.75">
      <c r="A585" s="74"/>
      <c r="B585" s="30"/>
      <c r="C585" s="30"/>
      <c r="D585" s="30"/>
      <c r="E585" s="30"/>
      <c r="M585" s="76"/>
    </row>
    <row r="586" spans="1:13" ht="12.75">
      <c r="A586" s="74"/>
      <c r="B586" s="30"/>
      <c r="C586" s="30"/>
      <c r="D586" s="30"/>
      <c r="E586" s="30"/>
      <c r="M586" s="76"/>
    </row>
    <row r="587" spans="1:13" ht="12.75">
      <c r="A587" s="74"/>
      <c r="B587" s="30"/>
      <c r="C587" s="30"/>
      <c r="D587" s="30"/>
      <c r="E587" s="30"/>
      <c r="M587" s="76"/>
    </row>
    <row r="588" spans="1:13" ht="12.75">
      <c r="A588" s="74"/>
      <c r="B588" s="30"/>
      <c r="C588" s="30"/>
      <c r="D588" s="30"/>
      <c r="E588" s="30"/>
      <c r="M588" s="76"/>
    </row>
    <row r="589" spans="1:13" ht="12.75">
      <c r="A589" s="74"/>
      <c r="B589" s="30"/>
      <c r="C589" s="30"/>
      <c r="D589" s="30"/>
      <c r="E589" s="30"/>
      <c r="M589" s="76"/>
    </row>
    <row r="590" spans="1:13" ht="12.75">
      <c r="A590" s="74"/>
      <c r="B590" s="30"/>
      <c r="C590" s="30"/>
      <c r="D590" s="30"/>
      <c r="E590" s="30"/>
      <c r="M590" s="76"/>
    </row>
    <row r="591" spans="1:13" ht="12.75">
      <c r="A591" s="74"/>
      <c r="B591" s="30"/>
      <c r="C591" s="30"/>
      <c r="D591" s="30"/>
      <c r="E591" s="30"/>
      <c r="M591" s="76"/>
    </row>
    <row r="592" spans="1:13" ht="12.75">
      <c r="A592" s="74"/>
      <c r="B592" s="30"/>
      <c r="C592" s="30"/>
      <c r="D592" s="30"/>
      <c r="E592" s="30"/>
      <c r="M592" s="76"/>
    </row>
    <row r="593" spans="1:13" ht="12.75">
      <c r="A593" s="74"/>
      <c r="B593" s="30"/>
      <c r="C593" s="30"/>
      <c r="D593" s="30"/>
      <c r="E593" s="30"/>
      <c r="M593" s="76"/>
    </row>
    <row r="594" spans="1:13" ht="12.75">
      <c r="A594" s="74"/>
      <c r="B594" s="30"/>
      <c r="C594" s="30"/>
      <c r="D594" s="30"/>
      <c r="E594" s="30"/>
      <c r="M594" s="76"/>
    </row>
    <row r="595" spans="1:13" ht="12.75">
      <c r="A595" s="74"/>
      <c r="B595" s="30"/>
      <c r="C595" s="30"/>
      <c r="D595" s="30"/>
      <c r="E595" s="30"/>
      <c r="M595" s="76"/>
    </row>
    <row r="596" spans="1:13" ht="12.75">
      <c r="A596" s="74"/>
      <c r="B596" s="30"/>
      <c r="C596" s="30"/>
      <c r="D596" s="30"/>
      <c r="E596" s="30"/>
      <c r="M596" s="76"/>
    </row>
    <row r="597" spans="1:13" ht="12.75">
      <c r="A597" s="74"/>
      <c r="B597" s="30"/>
      <c r="C597" s="30"/>
      <c r="D597" s="30"/>
      <c r="E597" s="30"/>
      <c r="M597" s="76"/>
    </row>
    <row r="598" spans="1:13" ht="12.75">
      <c r="A598" s="74"/>
      <c r="B598" s="30"/>
      <c r="C598" s="30"/>
      <c r="D598" s="30"/>
      <c r="E598" s="30"/>
      <c r="M598" s="76"/>
    </row>
    <row r="599" spans="1:13" ht="12.75">
      <c r="A599" s="74"/>
      <c r="B599" s="30"/>
      <c r="C599" s="30"/>
      <c r="D599" s="30"/>
      <c r="E599" s="30"/>
      <c r="M599" s="76"/>
    </row>
    <row r="600" spans="1:13" ht="12.75">
      <c r="A600" s="74"/>
      <c r="B600" s="30"/>
      <c r="C600" s="30"/>
      <c r="D600" s="30"/>
      <c r="E600" s="30"/>
      <c r="M600" s="76"/>
    </row>
    <row r="601" spans="1:13" ht="12.75">
      <c r="A601" s="74"/>
      <c r="B601" s="30"/>
      <c r="C601" s="30"/>
      <c r="D601" s="30"/>
      <c r="E601" s="30"/>
      <c r="M601" s="76"/>
    </row>
    <row r="602" spans="1:13" ht="12.75">
      <c r="A602" s="74"/>
      <c r="B602" s="30"/>
      <c r="C602" s="30"/>
      <c r="D602" s="30"/>
      <c r="E602" s="30"/>
      <c r="M602" s="76"/>
    </row>
    <row r="603" spans="1:13" ht="12.75">
      <c r="A603" s="74"/>
      <c r="B603" s="30"/>
      <c r="C603" s="30"/>
      <c r="D603" s="30"/>
      <c r="E603" s="30"/>
      <c r="M603" s="76"/>
    </row>
    <row r="604" spans="1:13" ht="12.75">
      <c r="A604" s="74"/>
      <c r="B604" s="30"/>
      <c r="C604" s="30"/>
      <c r="D604" s="30"/>
      <c r="E604" s="30"/>
      <c r="M604" s="76"/>
    </row>
    <row r="605" spans="1:13" ht="12.75">
      <c r="A605" s="74"/>
      <c r="B605" s="30"/>
      <c r="C605" s="30"/>
      <c r="D605" s="30"/>
      <c r="E605" s="30"/>
      <c r="M605" s="76"/>
    </row>
    <row r="606" spans="1:13" ht="12.75">
      <c r="A606" s="74"/>
      <c r="B606" s="30"/>
      <c r="C606" s="30"/>
      <c r="D606" s="30"/>
      <c r="E606" s="30"/>
      <c r="M606" s="76"/>
    </row>
    <row r="607" spans="1:13" ht="12.75">
      <c r="A607" s="74"/>
      <c r="B607" s="30"/>
      <c r="C607" s="30"/>
      <c r="D607" s="30"/>
      <c r="E607" s="30"/>
      <c r="M607" s="76"/>
    </row>
    <row r="608" spans="1:13" ht="12.75">
      <c r="A608" s="74"/>
      <c r="B608" s="30"/>
      <c r="C608" s="30"/>
      <c r="D608" s="30"/>
      <c r="E608" s="30"/>
      <c r="M608" s="76"/>
    </row>
    <row r="609" spans="1:13" ht="12.75">
      <c r="A609" s="74"/>
      <c r="B609" s="30"/>
      <c r="C609" s="30"/>
      <c r="D609" s="30"/>
      <c r="E609" s="30"/>
      <c r="M609" s="76"/>
    </row>
    <row r="610" spans="1:13" ht="12.75">
      <c r="A610" s="74"/>
      <c r="B610" s="30"/>
      <c r="C610" s="30"/>
      <c r="D610" s="30"/>
      <c r="E610" s="30"/>
      <c r="M610" s="76"/>
    </row>
    <row r="611" spans="1:13" ht="12.75">
      <c r="A611" s="74"/>
      <c r="B611" s="30"/>
      <c r="C611" s="30"/>
      <c r="D611" s="30"/>
      <c r="E611" s="30"/>
      <c r="M611" s="76"/>
    </row>
    <row r="612" spans="1:13" ht="12.75">
      <c r="A612" s="74"/>
      <c r="B612" s="30"/>
      <c r="C612" s="30"/>
      <c r="D612" s="30"/>
      <c r="E612" s="30"/>
      <c r="M612" s="76"/>
    </row>
    <row r="613" spans="1:13" ht="12.75">
      <c r="A613" s="74"/>
      <c r="B613" s="30"/>
      <c r="C613" s="30"/>
      <c r="D613" s="30"/>
      <c r="E613" s="30"/>
      <c r="M613" s="76"/>
    </row>
    <row r="614" spans="1:13" ht="12.75">
      <c r="A614" s="74"/>
      <c r="B614" s="30"/>
      <c r="C614" s="30"/>
      <c r="D614" s="30"/>
      <c r="E614" s="30"/>
      <c r="M614" s="76"/>
    </row>
    <row r="615" spans="1:13" ht="12.75">
      <c r="A615" s="74"/>
      <c r="B615" s="30"/>
      <c r="C615" s="30"/>
      <c r="D615" s="30"/>
      <c r="E615" s="30"/>
      <c r="M615" s="76"/>
    </row>
    <row r="616" spans="1:13" ht="12.75">
      <c r="A616" s="74"/>
      <c r="B616" s="30"/>
      <c r="C616" s="30"/>
      <c r="D616" s="30"/>
      <c r="E616" s="30"/>
      <c r="M616" s="76"/>
    </row>
    <row r="617" spans="1:13" ht="12.75">
      <c r="A617" s="74"/>
      <c r="B617" s="30"/>
      <c r="C617" s="30"/>
      <c r="D617" s="30"/>
      <c r="E617" s="30"/>
      <c r="M617" s="76"/>
    </row>
    <row r="618" spans="1:13" ht="12.75">
      <c r="A618" s="74"/>
      <c r="B618" s="30"/>
      <c r="C618" s="30"/>
      <c r="D618" s="30"/>
      <c r="E618" s="30"/>
      <c r="M618" s="76"/>
    </row>
    <row r="619" spans="1:13" ht="12.75">
      <c r="A619" s="74"/>
      <c r="B619" s="30"/>
      <c r="C619" s="30"/>
      <c r="D619" s="30"/>
      <c r="E619" s="30"/>
      <c r="M619" s="76"/>
    </row>
    <row r="620" spans="1:13" ht="12.75">
      <c r="A620" s="74"/>
      <c r="B620" s="30"/>
      <c r="C620" s="30"/>
      <c r="D620" s="30"/>
      <c r="E620" s="30"/>
      <c r="M620" s="76"/>
    </row>
    <row r="621" spans="1:13" ht="12.75">
      <c r="A621" s="74"/>
      <c r="B621" s="30"/>
      <c r="C621" s="30"/>
      <c r="D621" s="30"/>
      <c r="E621" s="30"/>
      <c r="M621" s="76"/>
    </row>
    <row r="622" spans="1:13" ht="12.75">
      <c r="A622" s="74"/>
      <c r="B622" s="30"/>
      <c r="C622" s="30"/>
      <c r="D622" s="30"/>
      <c r="E622" s="30"/>
      <c r="M622" s="76"/>
    </row>
    <row r="623" spans="1:13" ht="12.75">
      <c r="A623" s="74"/>
      <c r="B623" s="30"/>
      <c r="C623" s="30"/>
      <c r="D623" s="30"/>
      <c r="E623" s="30"/>
      <c r="M623" s="76"/>
    </row>
    <row r="624" spans="1:13" ht="12.75">
      <c r="A624" s="74"/>
      <c r="B624" s="30"/>
      <c r="C624" s="30"/>
      <c r="D624" s="30"/>
      <c r="E624" s="30"/>
      <c r="M624" s="76"/>
    </row>
    <row r="625" spans="1:13" ht="12.75">
      <c r="A625" s="74"/>
      <c r="B625" s="30"/>
      <c r="C625" s="30"/>
      <c r="D625" s="30"/>
      <c r="E625" s="30"/>
      <c r="M625" s="76"/>
    </row>
    <row r="626" spans="1:13" ht="12.75">
      <c r="A626" s="74"/>
      <c r="B626" s="30"/>
      <c r="C626" s="30"/>
      <c r="D626" s="30"/>
      <c r="E626" s="30"/>
      <c r="M626" s="76"/>
    </row>
    <row r="627" spans="1:13" ht="12.75">
      <c r="A627" s="74"/>
      <c r="B627" s="30"/>
      <c r="C627" s="30"/>
      <c r="D627" s="30"/>
      <c r="E627" s="30"/>
      <c r="M627" s="76"/>
    </row>
    <row r="628" spans="1:13" ht="12.75">
      <c r="A628" s="74"/>
      <c r="B628" s="30"/>
      <c r="C628" s="30"/>
      <c r="D628" s="30"/>
      <c r="E628" s="30"/>
      <c r="M628" s="76"/>
    </row>
    <row r="629" spans="1:13" ht="12.75">
      <c r="A629" s="74"/>
      <c r="B629" s="30"/>
      <c r="C629" s="30"/>
      <c r="D629" s="30"/>
      <c r="E629" s="30"/>
      <c r="M629" s="76"/>
    </row>
    <row r="630" spans="1:13" ht="12.75">
      <c r="A630" s="74"/>
      <c r="B630" s="30"/>
      <c r="C630" s="30"/>
      <c r="D630" s="30"/>
      <c r="E630" s="30"/>
      <c r="M630" s="76"/>
    </row>
    <row r="631" spans="1:13" ht="12.75">
      <c r="A631" s="74"/>
      <c r="B631" s="30"/>
      <c r="C631" s="30"/>
      <c r="D631" s="30"/>
      <c r="E631" s="30"/>
      <c r="M631" s="76"/>
    </row>
    <row r="632" spans="1:13" ht="12.75">
      <c r="A632" s="74"/>
      <c r="B632" s="30"/>
      <c r="C632" s="30"/>
      <c r="D632" s="30"/>
      <c r="E632" s="30"/>
      <c r="M632" s="76"/>
    </row>
    <row r="633" spans="1:13" ht="12.75">
      <c r="A633" s="74"/>
      <c r="B633" s="30"/>
      <c r="C633" s="30"/>
      <c r="D633" s="30"/>
      <c r="E633" s="30"/>
      <c r="M633" s="76"/>
    </row>
    <row r="634" spans="1:13" ht="12.75">
      <c r="A634" s="74"/>
      <c r="B634" s="30"/>
      <c r="C634" s="30"/>
      <c r="D634" s="30"/>
      <c r="E634" s="30"/>
      <c r="M634" s="76"/>
    </row>
    <row r="635" spans="1:13" ht="12.75">
      <c r="A635" s="74"/>
      <c r="B635" s="30"/>
      <c r="C635" s="30"/>
      <c r="D635" s="30"/>
      <c r="E635" s="30"/>
      <c r="M635" s="76"/>
    </row>
    <row r="636" spans="1:13" ht="12.75">
      <c r="A636" s="74"/>
      <c r="B636" s="30"/>
      <c r="C636" s="30"/>
      <c r="D636" s="30"/>
      <c r="E636" s="30"/>
      <c r="M636" s="76"/>
    </row>
    <row r="637" spans="1:13" ht="12.75">
      <c r="A637" s="74"/>
      <c r="B637" s="30"/>
      <c r="C637" s="30"/>
      <c r="D637" s="30"/>
      <c r="E637" s="30"/>
      <c r="M637" s="76"/>
    </row>
    <row r="638" spans="1:13" ht="12.75">
      <c r="A638" s="74"/>
      <c r="B638" s="30"/>
      <c r="C638" s="30"/>
      <c r="D638" s="30"/>
      <c r="E638" s="30"/>
      <c r="M638" s="76"/>
    </row>
    <row r="639" spans="1:13" ht="12.75">
      <c r="A639" s="74"/>
      <c r="B639" s="30"/>
      <c r="C639" s="30"/>
      <c r="D639" s="30"/>
      <c r="E639" s="30"/>
      <c r="M639" s="76"/>
    </row>
    <row r="640" spans="1:13" ht="12.75">
      <c r="A640" s="74"/>
      <c r="B640" s="30"/>
      <c r="C640" s="30"/>
      <c r="D640" s="30"/>
      <c r="E640" s="30"/>
      <c r="M640" s="76"/>
    </row>
    <row r="641" spans="1:13" ht="12.75">
      <c r="A641" s="74"/>
      <c r="B641" s="30"/>
      <c r="C641" s="30"/>
      <c r="D641" s="30"/>
      <c r="E641" s="30"/>
      <c r="M641" s="76"/>
    </row>
    <row r="642" spans="1:13" ht="12.75">
      <c r="A642" s="74"/>
      <c r="B642" s="30"/>
      <c r="C642" s="30"/>
      <c r="D642" s="30"/>
      <c r="E642" s="30"/>
      <c r="M642" s="76"/>
    </row>
    <row r="643" spans="1:13" ht="12.75">
      <c r="A643" s="74"/>
      <c r="B643" s="30"/>
      <c r="C643" s="30"/>
      <c r="D643" s="30"/>
      <c r="E643" s="30"/>
      <c r="M643" s="76"/>
    </row>
    <row r="644" spans="1:13" ht="12.75">
      <c r="A644" s="74"/>
      <c r="B644" s="30"/>
      <c r="C644" s="30"/>
      <c r="D644" s="30"/>
      <c r="E644" s="30"/>
      <c r="M644" s="76"/>
    </row>
    <row r="645" spans="1:13" ht="12.75">
      <c r="A645" s="74"/>
      <c r="B645" s="30"/>
      <c r="C645" s="30"/>
      <c r="D645" s="30"/>
      <c r="E645" s="30"/>
      <c r="M645" s="76"/>
    </row>
    <row r="646" spans="1:13" ht="12.75">
      <c r="A646" s="74"/>
      <c r="B646" s="30"/>
      <c r="C646" s="30"/>
      <c r="D646" s="30"/>
      <c r="E646" s="30"/>
      <c r="M646" s="76"/>
    </row>
    <row r="647" spans="1:13" ht="12.75">
      <c r="A647" s="74"/>
      <c r="B647" s="30"/>
      <c r="C647" s="30"/>
      <c r="D647" s="30"/>
      <c r="E647" s="30"/>
      <c r="M647" s="76"/>
    </row>
    <row r="648" spans="1:13" ht="12.75">
      <c r="A648" s="74"/>
      <c r="B648" s="30"/>
      <c r="C648" s="30"/>
      <c r="D648" s="30"/>
      <c r="E648" s="30"/>
      <c r="M648" s="76"/>
    </row>
    <row r="649" spans="1:13" ht="12.75">
      <c r="A649" s="74"/>
      <c r="B649" s="30"/>
      <c r="C649" s="30"/>
      <c r="D649" s="30"/>
      <c r="E649" s="30"/>
      <c r="M649" s="76"/>
    </row>
    <row r="650" spans="1:13" ht="12.75">
      <c r="A650" s="74"/>
      <c r="B650" s="30"/>
      <c r="C650" s="30"/>
      <c r="D650" s="30"/>
      <c r="E650" s="30"/>
      <c r="M650" s="76"/>
    </row>
    <row r="651" spans="1:13" ht="12.75">
      <c r="A651" s="74"/>
      <c r="B651" s="30"/>
      <c r="C651" s="30"/>
      <c r="D651" s="30"/>
      <c r="E651" s="30"/>
      <c r="M651" s="76"/>
    </row>
    <row r="652" spans="1:13" ht="12.75">
      <c r="A652" s="74"/>
      <c r="B652" s="30"/>
      <c r="C652" s="30"/>
      <c r="D652" s="30"/>
      <c r="E652" s="30"/>
      <c r="M652" s="76"/>
    </row>
    <row r="653" spans="1:13" ht="12.75">
      <c r="A653" s="74"/>
      <c r="B653" s="30"/>
      <c r="C653" s="30"/>
      <c r="D653" s="30"/>
      <c r="E653" s="30"/>
      <c r="M653" s="76"/>
    </row>
    <row r="654" spans="1:13" ht="12.75">
      <c r="A654" s="74"/>
      <c r="B654" s="30"/>
      <c r="C654" s="30"/>
      <c r="D654" s="30"/>
      <c r="E654" s="30"/>
      <c r="M654" s="76"/>
    </row>
    <row r="655" spans="1:13" ht="12.75">
      <c r="A655" s="74"/>
      <c r="B655" s="30"/>
      <c r="C655" s="30"/>
      <c r="D655" s="30"/>
      <c r="E655" s="30"/>
      <c r="M655" s="76"/>
    </row>
    <row r="656" spans="1:13" ht="12.75">
      <c r="A656" s="74"/>
      <c r="B656" s="30"/>
      <c r="C656" s="30"/>
      <c r="D656" s="30"/>
      <c r="E656" s="30"/>
      <c r="M656" s="76"/>
    </row>
    <row r="657" spans="1:13" ht="12.75">
      <c r="A657" s="74"/>
      <c r="B657" s="30"/>
      <c r="C657" s="30"/>
      <c r="D657" s="30"/>
      <c r="E657" s="30"/>
      <c r="M657" s="76"/>
    </row>
    <row r="658" spans="1:13" ht="12.75">
      <c r="A658" s="74"/>
      <c r="B658" s="30"/>
      <c r="C658" s="30"/>
      <c r="D658" s="30"/>
      <c r="E658" s="30"/>
      <c r="M658" s="76"/>
    </row>
    <row r="659" spans="1:13" ht="12.75">
      <c r="A659" s="74"/>
      <c r="B659" s="30"/>
      <c r="C659" s="30"/>
      <c r="D659" s="30"/>
      <c r="E659" s="30"/>
      <c r="M659" s="76"/>
    </row>
    <row r="660" spans="1:13" ht="12.75">
      <c r="A660" s="74"/>
      <c r="B660" s="30"/>
      <c r="C660" s="30"/>
      <c r="D660" s="30"/>
      <c r="E660" s="30"/>
      <c r="M660" s="76"/>
    </row>
    <row r="661" spans="1:13" ht="12.75">
      <c r="A661" s="74"/>
      <c r="B661" s="30"/>
      <c r="C661" s="30"/>
      <c r="D661" s="30"/>
      <c r="E661" s="30"/>
      <c r="M661" s="76"/>
    </row>
    <row r="662" spans="1:13" ht="12.75">
      <c r="A662" s="74"/>
      <c r="B662" s="30"/>
      <c r="C662" s="30"/>
      <c r="D662" s="30"/>
      <c r="E662" s="30"/>
      <c r="M662" s="76"/>
    </row>
    <row r="663" spans="1:13" ht="12.75">
      <c r="A663" s="74"/>
      <c r="B663" s="30"/>
      <c r="C663" s="30"/>
      <c r="D663" s="30"/>
      <c r="E663" s="30"/>
      <c r="M663" s="76"/>
    </row>
    <row r="664" spans="1:13" ht="12.75">
      <c r="A664" s="74"/>
      <c r="B664" s="30"/>
      <c r="C664" s="30"/>
      <c r="D664" s="30"/>
      <c r="E664" s="30"/>
      <c r="M664" s="76"/>
    </row>
    <row r="665" spans="1:13" ht="12.75">
      <c r="A665" s="74"/>
      <c r="B665" s="30"/>
      <c r="C665" s="30"/>
      <c r="D665" s="30"/>
      <c r="E665" s="30"/>
      <c r="M665" s="76"/>
    </row>
    <row r="666" spans="1:13" ht="12.75">
      <c r="A666" s="74"/>
      <c r="B666" s="30"/>
      <c r="C666" s="30"/>
      <c r="D666" s="30"/>
      <c r="E666" s="30"/>
      <c r="M666" s="76"/>
    </row>
    <row r="667" spans="1:13" ht="12.75">
      <c r="A667" s="74"/>
      <c r="B667" s="30"/>
      <c r="C667" s="30"/>
      <c r="D667" s="30"/>
      <c r="E667" s="30"/>
      <c r="M667" s="76"/>
    </row>
    <row r="668" spans="1:13" ht="12.75">
      <c r="A668" s="74"/>
      <c r="B668" s="30"/>
      <c r="C668" s="30"/>
      <c r="D668" s="30"/>
      <c r="E668" s="30"/>
      <c r="M668" s="76"/>
    </row>
    <row r="669" spans="1:13" ht="12.75">
      <c r="A669" s="74"/>
      <c r="B669" s="30"/>
      <c r="C669" s="30"/>
      <c r="D669" s="30"/>
      <c r="E669" s="30"/>
      <c r="M669" s="76"/>
    </row>
    <row r="670" spans="1:13" ht="12.75">
      <c r="A670" s="74"/>
      <c r="B670" s="30"/>
      <c r="C670" s="30"/>
      <c r="D670" s="30"/>
      <c r="E670" s="30"/>
      <c r="M670" s="76"/>
    </row>
    <row r="671" spans="1:13" ht="12.75">
      <c r="A671" s="74"/>
      <c r="B671" s="30"/>
      <c r="C671" s="30"/>
      <c r="D671" s="30"/>
      <c r="E671" s="30"/>
      <c r="M671" s="76"/>
    </row>
    <row r="672" spans="1:13" ht="12.75">
      <c r="A672" s="74"/>
      <c r="B672" s="30"/>
      <c r="C672" s="30"/>
      <c r="D672" s="30"/>
      <c r="E672" s="30"/>
      <c r="M672" s="76"/>
    </row>
    <row r="673" spans="1:13" ht="12.75">
      <c r="A673" s="74"/>
      <c r="B673" s="30"/>
      <c r="C673" s="30"/>
      <c r="D673" s="30"/>
      <c r="E673" s="30"/>
      <c r="M673" s="76"/>
    </row>
    <row r="674" spans="1:13" ht="12.75">
      <c r="A674" s="74"/>
      <c r="B674" s="30"/>
      <c r="C674" s="30"/>
      <c r="D674" s="30"/>
      <c r="E674" s="30"/>
      <c r="M674" s="76"/>
    </row>
    <row r="675" spans="1:13" ht="12.75">
      <c r="A675" s="74"/>
      <c r="B675" s="30"/>
      <c r="C675" s="30"/>
      <c r="D675" s="30"/>
      <c r="E675" s="30"/>
      <c r="M675" s="76"/>
    </row>
    <row r="676" spans="1:13" ht="12.75">
      <c r="A676" s="74"/>
      <c r="B676" s="30"/>
      <c r="C676" s="30"/>
      <c r="D676" s="30"/>
      <c r="E676" s="30"/>
      <c r="M676" s="76"/>
    </row>
    <row r="677" spans="1:13" ht="12.75">
      <c r="A677" s="74"/>
      <c r="B677" s="30"/>
      <c r="C677" s="30"/>
      <c r="D677" s="30"/>
      <c r="E677" s="30"/>
      <c r="M677" s="76"/>
    </row>
    <row r="678" spans="1:13" ht="12.75">
      <c r="A678" s="74"/>
      <c r="B678" s="30"/>
      <c r="C678" s="30"/>
      <c r="D678" s="30"/>
      <c r="E678" s="30"/>
      <c r="M678" s="76"/>
    </row>
    <row r="679" spans="1:13" ht="12.75">
      <c r="A679" s="74"/>
      <c r="B679" s="30"/>
      <c r="C679" s="30"/>
      <c r="D679" s="30"/>
      <c r="E679" s="30"/>
      <c r="M679" s="76"/>
    </row>
    <row r="680" spans="1:13" ht="12.75">
      <c r="A680" s="74"/>
      <c r="B680" s="30"/>
      <c r="C680" s="30"/>
      <c r="D680" s="30"/>
      <c r="E680" s="30"/>
      <c r="M680" s="76"/>
    </row>
    <row r="681" spans="1:13" ht="12.75">
      <c r="A681" s="74"/>
      <c r="B681" s="30"/>
      <c r="C681" s="30"/>
      <c r="D681" s="30"/>
      <c r="E681" s="30"/>
      <c r="M681" s="76"/>
    </row>
    <row r="682" spans="1:13" ht="12.75">
      <c r="A682" s="74"/>
      <c r="B682" s="30"/>
      <c r="C682" s="30"/>
      <c r="D682" s="30"/>
      <c r="E682" s="30"/>
      <c r="M682" s="76"/>
    </row>
    <row r="683" spans="1:13" ht="12.75">
      <c r="A683" s="74"/>
      <c r="B683" s="30"/>
      <c r="C683" s="30"/>
      <c r="D683" s="30"/>
      <c r="E683" s="30"/>
      <c r="M683" s="76"/>
    </row>
    <row r="684" spans="1:13" ht="12.75">
      <c r="A684" s="74"/>
      <c r="B684" s="30"/>
      <c r="C684" s="30"/>
      <c r="D684" s="30"/>
      <c r="E684" s="30"/>
      <c r="M684" s="76"/>
    </row>
    <row r="685" spans="1:13" ht="12.75">
      <c r="A685" s="74"/>
      <c r="B685" s="30"/>
      <c r="C685" s="30"/>
      <c r="D685" s="30"/>
      <c r="E685" s="30"/>
      <c r="M685" s="76"/>
    </row>
    <row r="686" spans="1:13" ht="12.75">
      <c r="A686" s="74"/>
      <c r="B686" s="30"/>
      <c r="C686" s="30"/>
      <c r="D686" s="30"/>
      <c r="E686" s="30"/>
      <c r="M686" s="76"/>
    </row>
    <row r="687" spans="1:13" ht="12.75">
      <c r="A687" s="74"/>
      <c r="B687" s="30"/>
      <c r="C687" s="30"/>
      <c r="D687" s="30"/>
      <c r="E687" s="30"/>
      <c r="M687" s="76"/>
    </row>
    <row r="688" spans="1:13" ht="12.75">
      <c r="A688" s="74"/>
      <c r="B688" s="30"/>
      <c r="C688" s="30"/>
      <c r="D688" s="30"/>
      <c r="E688" s="30"/>
      <c r="M688" s="76"/>
    </row>
    <row r="689" spans="1:13" ht="12.75">
      <c r="A689" s="74"/>
      <c r="B689" s="30"/>
      <c r="C689" s="30"/>
      <c r="D689" s="30"/>
      <c r="E689" s="30"/>
      <c r="M689" s="76"/>
    </row>
    <row r="690" spans="1:13" ht="12.75">
      <c r="A690" s="74"/>
      <c r="B690" s="30"/>
      <c r="C690" s="30"/>
      <c r="D690" s="30"/>
      <c r="E690" s="30"/>
      <c r="M690" s="76"/>
    </row>
    <row r="691" spans="1:13" ht="12.75">
      <c r="A691" s="74"/>
      <c r="B691" s="30"/>
      <c r="C691" s="30"/>
      <c r="D691" s="30"/>
      <c r="E691" s="30"/>
      <c r="M691" s="76"/>
    </row>
    <row r="692" spans="1:13" ht="12.75">
      <c r="A692" s="74"/>
      <c r="B692" s="30"/>
      <c r="C692" s="30"/>
      <c r="D692" s="30"/>
      <c r="E692" s="30"/>
      <c r="M692" s="76"/>
    </row>
    <row r="693" spans="1:13" ht="12.75">
      <c r="A693" s="74"/>
      <c r="B693" s="30"/>
      <c r="C693" s="30"/>
      <c r="D693" s="30"/>
      <c r="E693" s="30"/>
      <c r="M693" s="76"/>
    </row>
    <row r="694" spans="1:13" ht="12.75">
      <c r="A694" s="74"/>
      <c r="B694" s="30"/>
      <c r="C694" s="30"/>
      <c r="D694" s="30"/>
      <c r="E694" s="30"/>
      <c r="M694" s="76"/>
    </row>
    <row r="695" spans="1:13" ht="12.75">
      <c r="A695" s="74"/>
      <c r="B695" s="30"/>
      <c r="C695" s="30"/>
      <c r="D695" s="30"/>
      <c r="E695" s="30"/>
      <c r="M695" s="76"/>
    </row>
    <row r="696" spans="1:13" ht="12.75">
      <c r="A696" s="74"/>
      <c r="B696" s="30"/>
      <c r="C696" s="30"/>
      <c r="D696" s="30"/>
      <c r="E696" s="30"/>
      <c r="M696" s="76"/>
    </row>
    <row r="697" spans="1:13" ht="12.75">
      <c r="A697" s="74"/>
      <c r="B697" s="30"/>
      <c r="C697" s="30"/>
      <c r="D697" s="30"/>
      <c r="E697" s="30"/>
      <c r="M697" s="76"/>
    </row>
    <row r="698" spans="1:13" ht="12.75">
      <c r="A698" s="74"/>
      <c r="B698" s="30"/>
      <c r="C698" s="30"/>
      <c r="D698" s="30"/>
      <c r="E698" s="30"/>
      <c r="M698" s="76"/>
    </row>
    <row r="699" spans="1:13" ht="12.75">
      <c r="A699" s="74"/>
      <c r="B699" s="30"/>
      <c r="C699" s="30"/>
      <c r="D699" s="30"/>
      <c r="E699" s="30"/>
      <c r="M699" s="76"/>
    </row>
    <row r="700" spans="1:13" ht="12.75">
      <c r="A700" s="74"/>
      <c r="B700" s="30"/>
      <c r="C700" s="30"/>
      <c r="D700" s="30"/>
      <c r="E700" s="30"/>
      <c r="M700" s="76"/>
    </row>
    <row r="701" spans="1:13" ht="12.75">
      <c r="A701" s="74"/>
      <c r="B701" s="30"/>
      <c r="C701" s="30"/>
      <c r="D701" s="30"/>
      <c r="E701" s="30"/>
      <c r="M701" s="76"/>
    </row>
    <row r="702" spans="1:13" ht="12.75">
      <c r="A702" s="74"/>
      <c r="B702" s="30"/>
      <c r="C702" s="30"/>
      <c r="D702" s="30"/>
      <c r="E702" s="30"/>
      <c r="M702" s="76"/>
    </row>
    <row r="703" spans="1:13" ht="12.75">
      <c r="A703" s="74"/>
      <c r="B703" s="30"/>
      <c r="C703" s="30"/>
      <c r="D703" s="30"/>
      <c r="E703" s="30"/>
      <c r="M703" s="76"/>
    </row>
    <row r="704" spans="1:13" ht="12.75">
      <c r="A704" s="74"/>
      <c r="B704" s="30"/>
      <c r="C704" s="30"/>
      <c r="D704" s="30"/>
      <c r="E704" s="30"/>
      <c r="M704" s="76"/>
    </row>
    <row r="705" spans="1:13" ht="12.75">
      <c r="A705" s="74"/>
      <c r="B705" s="30"/>
      <c r="C705" s="30"/>
      <c r="D705" s="30"/>
      <c r="E705" s="30"/>
      <c r="M705" s="76"/>
    </row>
    <row r="706" spans="1:13" ht="12.75">
      <c r="A706" s="74"/>
      <c r="B706" s="30"/>
      <c r="C706" s="30"/>
      <c r="D706" s="30"/>
      <c r="E706" s="30"/>
      <c r="M706" s="76"/>
    </row>
    <row r="707" spans="1:13" ht="12.75">
      <c r="A707" s="74"/>
      <c r="B707" s="30"/>
      <c r="C707" s="30"/>
      <c r="D707" s="30"/>
      <c r="E707" s="30"/>
      <c r="M707" s="76"/>
    </row>
    <row r="708" spans="1:13" ht="12.75">
      <c r="A708" s="74"/>
      <c r="B708" s="30"/>
      <c r="C708" s="30"/>
      <c r="D708" s="30"/>
      <c r="E708" s="30"/>
      <c r="M708" s="76"/>
    </row>
    <row r="709" spans="1:13" ht="12.75">
      <c r="A709" s="74"/>
      <c r="B709" s="30"/>
      <c r="C709" s="30"/>
      <c r="D709" s="30"/>
      <c r="E709" s="30"/>
      <c r="M709" s="76"/>
    </row>
    <row r="710" spans="1:13" ht="12.75">
      <c r="A710" s="74"/>
      <c r="B710" s="30"/>
      <c r="C710" s="30"/>
      <c r="D710" s="30"/>
      <c r="E710" s="30"/>
      <c r="M710" s="76"/>
    </row>
    <row r="711" spans="1:13" ht="12.75">
      <c r="A711" s="74"/>
      <c r="B711" s="30"/>
      <c r="C711" s="30"/>
      <c r="D711" s="30"/>
      <c r="E711" s="30"/>
      <c r="M711" s="76"/>
    </row>
    <row r="712" spans="1:13" ht="12.75">
      <c r="A712" s="74"/>
      <c r="B712" s="30"/>
      <c r="C712" s="30"/>
      <c r="D712" s="30"/>
      <c r="E712" s="30"/>
      <c r="M712" s="76"/>
    </row>
    <row r="713" spans="1:13" ht="12.75">
      <c r="A713" s="74"/>
      <c r="B713" s="30"/>
      <c r="C713" s="30"/>
      <c r="D713" s="30"/>
      <c r="E713" s="30"/>
      <c r="M713" s="76"/>
    </row>
    <row r="714" spans="1:13" ht="12.75">
      <c r="A714" s="74"/>
      <c r="B714" s="30"/>
      <c r="C714" s="30"/>
      <c r="D714" s="30"/>
      <c r="E714" s="30"/>
      <c r="M714" s="76"/>
    </row>
    <row r="715" spans="1:13" ht="12.75">
      <c r="A715" s="74"/>
      <c r="B715" s="30"/>
      <c r="C715" s="30"/>
      <c r="D715" s="30"/>
      <c r="E715" s="30"/>
      <c r="M715" s="76"/>
    </row>
    <row r="716" spans="1:13" ht="12.75">
      <c r="A716" s="74"/>
      <c r="B716" s="30"/>
      <c r="C716" s="30"/>
      <c r="D716" s="30"/>
      <c r="E716" s="30"/>
      <c r="M716" s="76"/>
    </row>
    <row r="717" spans="1:13" ht="12.75">
      <c r="A717" s="74"/>
      <c r="B717" s="30"/>
      <c r="C717" s="30"/>
      <c r="D717" s="30"/>
      <c r="E717" s="30"/>
      <c r="M717" s="76"/>
    </row>
    <row r="718" spans="1:13" ht="12.75">
      <c r="A718" s="74"/>
      <c r="B718" s="30"/>
      <c r="C718" s="30"/>
      <c r="D718" s="30"/>
      <c r="E718" s="30"/>
      <c r="M718" s="76"/>
    </row>
    <row r="719" spans="1:13" ht="12.75">
      <c r="A719" s="74"/>
      <c r="B719" s="30"/>
      <c r="C719" s="30"/>
      <c r="D719" s="30"/>
      <c r="E719" s="30"/>
      <c r="M719" s="76"/>
    </row>
    <row r="720" spans="1:13" ht="12.75">
      <c r="A720" s="74"/>
      <c r="B720" s="30"/>
      <c r="C720" s="30"/>
      <c r="D720" s="30"/>
      <c r="E720" s="30"/>
      <c r="M720" s="76"/>
    </row>
    <row r="721" spans="1:13" ht="12.75">
      <c r="A721" s="74"/>
      <c r="B721" s="30"/>
      <c r="C721" s="30"/>
      <c r="D721" s="30"/>
      <c r="E721" s="30"/>
      <c r="M721" s="76"/>
    </row>
    <row r="722" spans="1:13" ht="12.75">
      <c r="A722" s="74"/>
      <c r="B722" s="30"/>
      <c r="C722" s="30"/>
      <c r="D722" s="30"/>
      <c r="E722" s="30"/>
      <c r="M722" s="76"/>
    </row>
    <row r="723" spans="1:13" ht="12.75">
      <c r="A723" s="74"/>
      <c r="B723" s="30"/>
      <c r="C723" s="30"/>
      <c r="D723" s="30"/>
      <c r="E723" s="30"/>
      <c r="M723" s="76"/>
    </row>
    <row r="724" spans="1:13" ht="12.75">
      <c r="A724" s="74"/>
      <c r="B724" s="30"/>
      <c r="C724" s="30"/>
      <c r="D724" s="30"/>
      <c r="E724" s="30"/>
      <c r="M724" s="76"/>
    </row>
    <row r="725" spans="1:13" ht="12.75">
      <c r="A725" s="74"/>
      <c r="B725" s="30"/>
      <c r="C725" s="30"/>
      <c r="D725" s="30"/>
      <c r="E725" s="30"/>
      <c r="M725" s="76"/>
    </row>
    <row r="726" spans="1:13" ht="12.75">
      <c r="A726" s="74"/>
      <c r="B726" s="30"/>
      <c r="C726" s="30"/>
      <c r="D726" s="30"/>
      <c r="E726" s="30"/>
      <c r="M726" s="76"/>
    </row>
    <row r="727" spans="1:13" ht="12.75">
      <c r="A727" s="74"/>
      <c r="B727" s="30"/>
      <c r="C727" s="30"/>
      <c r="D727" s="30"/>
      <c r="E727" s="30"/>
      <c r="M727" s="76"/>
    </row>
    <row r="728" spans="1:13" ht="12.75">
      <c r="A728" s="74"/>
      <c r="B728" s="30"/>
      <c r="C728" s="30"/>
      <c r="D728" s="30"/>
      <c r="E728" s="30"/>
      <c r="M728" s="76"/>
    </row>
    <row r="729" spans="1:13" ht="12.75">
      <c r="A729" s="74"/>
      <c r="B729" s="30"/>
      <c r="C729" s="30"/>
      <c r="D729" s="30"/>
      <c r="E729" s="30"/>
      <c r="M729" s="76"/>
    </row>
    <row r="730" spans="1:13" ht="12.75">
      <c r="A730" s="74"/>
      <c r="B730" s="30"/>
      <c r="C730" s="30"/>
      <c r="D730" s="30"/>
      <c r="E730" s="30"/>
      <c r="M730" s="76"/>
    </row>
    <row r="731" spans="1:13" ht="12.75">
      <c r="A731" s="74"/>
      <c r="B731" s="30"/>
      <c r="C731" s="30"/>
      <c r="D731" s="30"/>
      <c r="E731" s="30"/>
      <c r="M731" s="76"/>
    </row>
    <row r="732" spans="1:13" ht="12.75">
      <c r="A732" s="74"/>
      <c r="B732" s="30"/>
      <c r="C732" s="30"/>
      <c r="D732" s="30"/>
      <c r="E732" s="30"/>
      <c r="M732" s="76"/>
    </row>
    <row r="733" spans="1:13" ht="12.75">
      <c r="A733" s="74"/>
      <c r="B733" s="30"/>
      <c r="C733" s="30"/>
      <c r="D733" s="30"/>
      <c r="E733" s="30"/>
      <c r="M733" s="76"/>
    </row>
    <row r="734" spans="1:13" ht="12.75">
      <c r="A734" s="74"/>
      <c r="B734" s="30"/>
      <c r="C734" s="30"/>
      <c r="D734" s="30"/>
      <c r="E734" s="30"/>
      <c r="M734" s="76"/>
    </row>
    <row r="735" spans="1:13" ht="12.75">
      <c r="A735" s="74"/>
      <c r="B735" s="30"/>
      <c r="C735" s="30"/>
      <c r="D735" s="30"/>
      <c r="E735" s="30"/>
      <c r="M735" s="76"/>
    </row>
    <row r="736" spans="1:13" ht="12.75">
      <c r="A736" s="74"/>
      <c r="B736" s="30"/>
      <c r="C736" s="30"/>
      <c r="D736" s="30"/>
      <c r="E736" s="30"/>
      <c r="M736" s="76"/>
    </row>
    <row r="737" spans="1:13" ht="12.75">
      <c r="A737" s="74"/>
      <c r="B737" s="30"/>
      <c r="C737" s="30"/>
      <c r="D737" s="30"/>
      <c r="E737" s="30"/>
      <c r="M737" s="76"/>
    </row>
    <row r="738" spans="1:13" ht="12.75">
      <c r="A738" s="74"/>
      <c r="B738" s="30"/>
      <c r="C738" s="30"/>
      <c r="D738" s="30"/>
      <c r="E738" s="30"/>
      <c r="M738" s="76"/>
    </row>
    <row r="739" spans="1:13" ht="12.75">
      <c r="A739" s="74"/>
      <c r="B739" s="30"/>
      <c r="C739" s="30"/>
      <c r="D739" s="30"/>
      <c r="E739" s="30"/>
      <c r="M739" s="76"/>
    </row>
    <row r="740" spans="1:13" ht="12.75">
      <c r="A740" s="74"/>
      <c r="B740" s="30"/>
      <c r="C740" s="30"/>
      <c r="D740" s="30"/>
      <c r="E740" s="30"/>
      <c r="M740" s="76"/>
    </row>
    <row r="741" spans="1:13" ht="12.75">
      <c r="A741" s="74"/>
      <c r="B741" s="30"/>
      <c r="C741" s="30"/>
      <c r="D741" s="30"/>
      <c r="E741" s="30"/>
      <c r="M741" s="76"/>
    </row>
    <row r="742" spans="1:13" ht="12.75">
      <c r="A742" s="74"/>
      <c r="B742" s="30"/>
      <c r="C742" s="30"/>
      <c r="D742" s="30"/>
      <c r="E742" s="30"/>
      <c r="M742" s="76"/>
    </row>
    <row r="743" spans="1:13" ht="12.75">
      <c r="A743" s="74"/>
      <c r="B743" s="30"/>
      <c r="C743" s="30"/>
      <c r="D743" s="30"/>
      <c r="E743" s="30"/>
      <c r="M743" s="76"/>
    </row>
    <row r="744" spans="1:13" ht="12.75">
      <c r="A744" s="74"/>
      <c r="B744" s="30"/>
      <c r="C744" s="30"/>
      <c r="D744" s="30"/>
      <c r="E744" s="30"/>
      <c r="M744" s="76"/>
    </row>
    <row r="745" spans="1:13" ht="12.75">
      <c r="A745" s="74"/>
      <c r="B745" s="30"/>
      <c r="C745" s="30"/>
      <c r="D745" s="30"/>
      <c r="E745" s="30"/>
      <c r="M745" s="76"/>
    </row>
    <row r="746" spans="1:13" ht="12.75">
      <c r="A746" s="74"/>
      <c r="B746" s="30"/>
      <c r="C746" s="30"/>
      <c r="D746" s="30"/>
      <c r="E746" s="30"/>
      <c r="M746" s="76"/>
    </row>
    <row r="747" spans="1:13" ht="12.75">
      <c r="A747" s="74"/>
      <c r="B747" s="30"/>
      <c r="C747" s="30"/>
      <c r="D747" s="30"/>
      <c r="E747" s="30"/>
      <c r="M747" s="76"/>
    </row>
    <row r="748" spans="1:13" ht="12.75">
      <c r="A748" s="74"/>
      <c r="B748" s="30"/>
      <c r="C748" s="30"/>
      <c r="D748" s="30"/>
      <c r="E748" s="30"/>
      <c r="M748" s="76"/>
    </row>
    <row r="749" spans="1:13" ht="12.75">
      <c r="A749" s="74"/>
      <c r="B749" s="30"/>
      <c r="C749" s="30"/>
      <c r="D749" s="30"/>
      <c r="E749" s="30"/>
      <c r="M749" s="76"/>
    </row>
    <row r="750" spans="1:13" ht="12.75">
      <c r="A750" s="74"/>
      <c r="B750" s="30"/>
      <c r="C750" s="30"/>
      <c r="D750" s="30"/>
      <c r="E750" s="30"/>
      <c r="M750" s="76"/>
    </row>
    <row r="751" spans="1:13" ht="12.75">
      <c r="A751" s="74"/>
      <c r="B751" s="30"/>
      <c r="C751" s="30"/>
      <c r="D751" s="30"/>
      <c r="E751" s="30"/>
      <c r="M751" s="76"/>
    </row>
    <row r="752" spans="1:13" ht="12.75">
      <c r="A752" s="74"/>
      <c r="B752" s="30"/>
      <c r="C752" s="30"/>
      <c r="D752" s="30"/>
      <c r="E752" s="30"/>
      <c r="M752" s="76"/>
    </row>
    <row r="753" spans="1:13" ht="12.75">
      <c r="A753" s="74"/>
      <c r="B753" s="30"/>
      <c r="C753" s="30"/>
      <c r="D753" s="30"/>
      <c r="E753" s="30"/>
      <c r="M753" s="76"/>
    </row>
    <row r="754" spans="1:13" ht="12.75">
      <c r="A754" s="74"/>
      <c r="B754" s="30"/>
      <c r="C754" s="30"/>
      <c r="D754" s="30"/>
      <c r="E754" s="30"/>
      <c r="M754" s="76"/>
    </row>
    <row r="755" spans="1:13" ht="12.75">
      <c r="A755" s="74"/>
      <c r="B755" s="30"/>
      <c r="C755" s="30"/>
      <c r="D755" s="30"/>
      <c r="E755" s="30"/>
      <c r="M755" s="76"/>
    </row>
    <row r="756" spans="1:13" ht="12.75">
      <c r="A756" s="74"/>
      <c r="B756" s="30"/>
      <c r="C756" s="30"/>
      <c r="D756" s="30"/>
      <c r="E756" s="30"/>
      <c r="M756" s="76"/>
    </row>
    <row r="757" spans="1:13" ht="12.75">
      <c r="A757" s="74"/>
      <c r="B757" s="30"/>
      <c r="C757" s="30"/>
      <c r="D757" s="30"/>
      <c r="E757" s="30"/>
      <c r="M757" s="76"/>
    </row>
    <row r="758" spans="1:13" ht="12.75">
      <c r="A758" s="74"/>
      <c r="B758" s="30"/>
      <c r="C758" s="30"/>
      <c r="D758" s="30"/>
      <c r="E758" s="30"/>
      <c r="M758" s="76"/>
    </row>
    <row r="759" spans="1:13" ht="12.75">
      <c r="A759" s="74"/>
      <c r="B759" s="30"/>
      <c r="C759" s="30"/>
      <c r="D759" s="30"/>
      <c r="E759" s="30"/>
      <c r="M759" s="76"/>
    </row>
    <row r="760" spans="1:13" ht="12.75">
      <c r="A760" s="74"/>
      <c r="B760" s="30"/>
      <c r="C760" s="30"/>
      <c r="D760" s="30"/>
      <c r="E760" s="30"/>
      <c r="M760" s="76"/>
    </row>
    <row r="761" spans="1:13" ht="12.75">
      <c r="A761" s="74"/>
      <c r="B761" s="30"/>
      <c r="C761" s="30"/>
      <c r="D761" s="30"/>
      <c r="E761" s="30"/>
      <c r="M761" s="76"/>
    </row>
    <row r="762" spans="1:13" ht="12.75">
      <c r="A762" s="74"/>
      <c r="B762" s="30"/>
      <c r="C762" s="30"/>
      <c r="D762" s="30"/>
      <c r="E762" s="30"/>
      <c r="M762" s="76"/>
    </row>
    <row r="763" spans="1:13" ht="12.75">
      <c r="A763" s="74"/>
      <c r="B763" s="30"/>
      <c r="C763" s="30"/>
      <c r="D763" s="30"/>
      <c r="E763" s="30"/>
      <c r="M763" s="76"/>
    </row>
    <row r="764" spans="1:13" ht="12.75">
      <c r="A764" s="74"/>
      <c r="B764" s="30"/>
      <c r="C764" s="30"/>
      <c r="D764" s="30"/>
      <c r="E764" s="30"/>
      <c r="M764" s="76"/>
    </row>
    <row r="765" spans="1:13" ht="12.75">
      <c r="A765" s="74"/>
      <c r="B765" s="30"/>
      <c r="C765" s="30"/>
      <c r="D765" s="30"/>
      <c r="E765" s="30"/>
      <c r="M765" s="76"/>
    </row>
    <row r="766" spans="1:13" ht="12.75">
      <c r="A766" s="74"/>
      <c r="B766" s="30"/>
      <c r="C766" s="30"/>
      <c r="D766" s="30"/>
      <c r="E766" s="30"/>
      <c r="M766" s="76"/>
    </row>
    <row r="767" spans="1:13" ht="12.75">
      <c r="A767" s="74"/>
      <c r="B767" s="30"/>
      <c r="C767" s="30"/>
      <c r="D767" s="30"/>
      <c r="E767" s="30"/>
      <c r="M767" s="76"/>
    </row>
    <row r="768" spans="1:13" ht="12.75">
      <c r="A768" s="74"/>
      <c r="B768" s="30"/>
      <c r="C768" s="30"/>
      <c r="D768" s="30"/>
      <c r="E768" s="30"/>
      <c r="M768" s="76"/>
    </row>
    <row r="769" spans="1:13" ht="12.75">
      <c r="A769" s="74"/>
      <c r="B769" s="30"/>
      <c r="C769" s="30"/>
      <c r="D769" s="30"/>
      <c r="E769" s="30"/>
      <c r="M769" s="76"/>
    </row>
    <row r="770" spans="1:13" ht="12.75">
      <c r="A770" s="74"/>
      <c r="B770" s="30"/>
      <c r="C770" s="30"/>
      <c r="D770" s="30"/>
      <c r="E770" s="30"/>
      <c r="M770" s="76"/>
    </row>
    <row r="771" spans="1:13" ht="12.75">
      <c r="A771" s="74"/>
      <c r="B771" s="30"/>
      <c r="C771" s="30"/>
      <c r="D771" s="30"/>
      <c r="E771" s="30"/>
      <c r="M771" s="76"/>
    </row>
    <row r="772" spans="1:13" ht="12.75">
      <c r="A772" s="74"/>
      <c r="B772" s="30"/>
      <c r="C772" s="30"/>
      <c r="D772" s="30"/>
      <c r="E772" s="30"/>
      <c r="M772" s="76"/>
    </row>
    <row r="773" spans="1:13" ht="12.75">
      <c r="A773" s="74"/>
      <c r="B773" s="30"/>
      <c r="C773" s="30"/>
      <c r="D773" s="30"/>
      <c r="E773" s="30"/>
      <c r="M773" s="76"/>
    </row>
    <row r="774" spans="1:13" ht="12.75">
      <c r="A774" s="74"/>
      <c r="B774" s="30"/>
      <c r="C774" s="30"/>
      <c r="D774" s="30"/>
      <c r="E774" s="30"/>
      <c r="M774" s="76"/>
    </row>
    <row r="775" spans="1:13" ht="12.75">
      <c r="A775" s="74"/>
      <c r="B775" s="30"/>
      <c r="C775" s="30"/>
      <c r="D775" s="30"/>
      <c r="E775" s="30"/>
      <c r="M775" s="76"/>
    </row>
    <row r="776" spans="1:13" ht="12.75">
      <c r="A776" s="74"/>
      <c r="B776" s="30"/>
      <c r="C776" s="30"/>
      <c r="D776" s="30"/>
      <c r="E776" s="30"/>
      <c r="M776" s="76"/>
    </row>
    <row r="777" spans="1:13" ht="12.75">
      <c r="A777" s="74"/>
      <c r="B777" s="30"/>
      <c r="C777" s="30"/>
      <c r="D777" s="30"/>
      <c r="E777" s="30"/>
      <c r="M777" s="76"/>
    </row>
    <row r="778" spans="1:13" ht="12.75">
      <c r="A778" s="74"/>
      <c r="B778" s="30"/>
      <c r="C778" s="30"/>
      <c r="D778" s="30"/>
      <c r="E778" s="30"/>
      <c r="M778" s="76"/>
    </row>
    <row r="779" spans="1:13" ht="12.75">
      <c r="A779" s="74"/>
      <c r="B779" s="30"/>
      <c r="C779" s="30"/>
      <c r="D779" s="30"/>
      <c r="E779" s="30"/>
      <c r="M779" s="76"/>
    </row>
    <row r="780" spans="1:13" ht="12.75">
      <c r="A780" s="74"/>
      <c r="B780" s="30"/>
      <c r="C780" s="30"/>
      <c r="D780" s="30"/>
      <c r="E780" s="30"/>
      <c r="M780" s="76"/>
    </row>
    <row r="781" spans="1:13" ht="12.75">
      <c r="A781" s="74"/>
      <c r="B781" s="30"/>
      <c r="C781" s="30"/>
      <c r="D781" s="30"/>
      <c r="E781" s="30"/>
      <c r="M781" s="76"/>
    </row>
    <row r="782" spans="1:13" ht="12.75">
      <c r="A782" s="74"/>
      <c r="B782" s="30"/>
      <c r="C782" s="30"/>
      <c r="D782" s="30"/>
      <c r="E782" s="30"/>
      <c r="M782" s="76"/>
    </row>
    <row r="783" spans="1:13" ht="12.75">
      <c r="A783" s="74"/>
      <c r="B783" s="30"/>
      <c r="C783" s="30"/>
      <c r="D783" s="30"/>
      <c r="E783" s="30"/>
      <c r="M783" s="76"/>
    </row>
    <row r="784" spans="1:13" ht="12.75">
      <c r="A784" s="74"/>
      <c r="B784" s="30"/>
      <c r="C784" s="30"/>
      <c r="D784" s="30"/>
      <c r="E784" s="30"/>
      <c r="M784" s="76"/>
    </row>
    <row r="785" spans="1:13" ht="12.75">
      <c r="A785" s="74"/>
      <c r="B785" s="30"/>
      <c r="C785" s="30"/>
      <c r="D785" s="30"/>
      <c r="E785" s="30"/>
      <c r="M785" s="76"/>
    </row>
    <row r="786" spans="1:13" ht="12.75">
      <c r="A786" s="74"/>
      <c r="B786" s="30"/>
      <c r="C786" s="30"/>
      <c r="D786" s="30"/>
      <c r="E786" s="30"/>
      <c r="M786" s="76"/>
    </row>
    <row r="787" spans="1:13" ht="12.75">
      <c r="A787" s="74"/>
      <c r="B787" s="30"/>
      <c r="C787" s="30"/>
      <c r="D787" s="30"/>
      <c r="E787" s="30"/>
      <c r="M787" s="76"/>
    </row>
    <row r="788" spans="1:13" ht="12.75">
      <c r="A788" s="74"/>
      <c r="B788" s="30"/>
      <c r="C788" s="30"/>
      <c r="D788" s="30"/>
      <c r="E788" s="30"/>
      <c r="M788" s="76"/>
    </row>
    <row r="789" spans="1:13" ht="12.75">
      <c r="A789" s="74"/>
      <c r="B789" s="30"/>
      <c r="C789" s="30"/>
      <c r="D789" s="30"/>
      <c r="E789" s="30"/>
      <c r="M789" s="76"/>
    </row>
    <row r="790" spans="1:13" ht="12.75">
      <c r="A790" s="74"/>
      <c r="B790" s="30"/>
      <c r="C790" s="30"/>
      <c r="D790" s="30"/>
      <c r="E790" s="30"/>
      <c r="M790" s="76"/>
    </row>
    <row r="791" spans="1:13" ht="12.75">
      <c r="A791" s="74"/>
      <c r="B791" s="30"/>
      <c r="C791" s="30"/>
      <c r="D791" s="30"/>
      <c r="E791" s="30"/>
      <c r="M791" s="76"/>
    </row>
    <row r="792" spans="1:13" ht="12.75">
      <c r="A792" s="74"/>
      <c r="B792" s="30"/>
      <c r="C792" s="30"/>
      <c r="D792" s="30"/>
      <c r="E792" s="30"/>
      <c r="M792" s="76"/>
    </row>
    <row r="793" spans="1:13" ht="12.75">
      <c r="A793" s="74"/>
      <c r="B793" s="30"/>
      <c r="C793" s="30"/>
      <c r="D793" s="30"/>
      <c r="E793" s="30"/>
      <c r="M793" s="76"/>
    </row>
    <row r="794" spans="1:13" ht="12.75">
      <c r="A794" s="74"/>
      <c r="B794" s="30"/>
      <c r="C794" s="30"/>
      <c r="D794" s="30"/>
      <c r="E794" s="30"/>
      <c r="M794" s="76"/>
    </row>
    <row r="795" spans="1:13" ht="12.75">
      <c r="A795" s="74"/>
      <c r="B795" s="30"/>
      <c r="C795" s="30"/>
      <c r="D795" s="30"/>
      <c r="E795" s="30"/>
      <c r="M795" s="76"/>
    </row>
    <row r="796" spans="1:13" ht="12.75">
      <c r="A796" s="74"/>
      <c r="B796" s="30"/>
      <c r="C796" s="30"/>
      <c r="D796" s="30"/>
      <c r="E796" s="30"/>
      <c r="M796" s="76"/>
    </row>
    <row r="797" spans="1:13" ht="12.75">
      <c r="A797" s="74"/>
      <c r="B797" s="30"/>
      <c r="C797" s="30"/>
      <c r="D797" s="30"/>
      <c r="E797" s="30"/>
      <c r="M797" s="76"/>
    </row>
    <row r="798" spans="1:13" ht="12.75">
      <c r="A798" s="74"/>
      <c r="B798" s="30"/>
      <c r="C798" s="30"/>
      <c r="D798" s="30"/>
      <c r="E798" s="30"/>
      <c r="M798" s="76"/>
    </row>
    <row r="799" spans="1:13" ht="12.75">
      <c r="A799" s="74"/>
      <c r="B799" s="30"/>
      <c r="C799" s="30"/>
      <c r="D799" s="30"/>
      <c r="E799" s="30"/>
      <c r="M799" s="76"/>
    </row>
    <row r="800" spans="1:13" ht="12.75">
      <c r="A800" s="74"/>
      <c r="B800" s="30"/>
      <c r="C800" s="30"/>
      <c r="D800" s="30"/>
      <c r="E800" s="30"/>
      <c r="M800" s="76"/>
    </row>
    <row r="801" spans="1:13" ht="12.75">
      <c r="A801" s="74"/>
      <c r="B801" s="30"/>
      <c r="C801" s="30"/>
      <c r="D801" s="30"/>
      <c r="E801" s="30"/>
      <c r="M801" s="76"/>
    </row>
    <row r="802" spans="1:13" ht="12.75">
      <c r="A802" s="74"/>
      <c r="B802" s="30"/>
      <c r="C802" s="30"/>
      <c r="D802" s="30"/>
      <c r="E802" s="30"/>
      <c r="M802" s="76"/>
    </row>
    <row r="803" spans="1:13" ht="12.75">
      <c r="A803" s="74"/>
      <c r="B803" s="30"/>
      <c r="C803" s="30"/>
      <c r="D803" s="30"/>
      <c r="E803" s="30"/>
      <c r="M803" s="76"/>
    </row>
    <row r="804" spans="1:13" ht="12.75">
      <c r="A804" s="74"/>
      <c r="B804" s="30"/>
      <c r="C804" s="30"/>
      <c r="D804" s="30"/>
      <c r="E804" s="30"/>
      <c r="M804" s="76"/>
    </row>
    <row r="805" spans="1:13" ht="12.75">
      <c r="A805" s="74"/>
      <c r="B805" s="30"/>
      <c r="C805" s="30"/>
      <c r="D805" s="30"/>
      <c r="E805" s="30"/>
      <c r="M805" s="76"/>
    </row>
    <row r="806" spans="1:13" ht="12.75">
      <c r="A806" s="74"/>
      <c r="B806" s="30"/>
      <c r="C806" s="30"/>
      <c r="D806" s="30"/>
      <c r="E806" s="30"/>
      <c r="M806" s="76"/>
    </row>
    <row r="807" spans="1:13" ht="12.75">
      <c r="A807" s="74"/>
      <c r="B807" s="30"/>
      <c r="C807" s="30"/>
      <c r="D807" s="30"/>
      <c r="E807" s="30"/>
      <c r="M807" s="76"/>
    </row>
    <row r="808" spans="1:13" ht="12.75">
      <c r="A808" s="74"/>
      <c r="B808" s="30"/>
      <c r="C808" s="30"/>
      <c r="D808" s="30"/>
      <c r="E808" s="30"/>
      <c r="M808" s="76"/>
    </row>
    <row r="809" spans="1:13" ht="12.75">
      <c r="A809" s="74"/>
      <c r="B809" s="30"/>
      <c r="C809" s="30"/>
      <c r="D809" s="30"/>
      <c r="E809" s="30"/>
      <c r="M809" s="76"/>
    </row>
    <row r="810" spans="1:13" ht="12.75">
      <c r="A810" s="74"/>
      <c r="B810" s="30"/>
      <c r="C810" s="30"/>
      <c r="D810" s="30"/>
      <c r="E810" s="30"/>
      <c r="M810" s="76"/>
    </row>
    <row r="811" spans="1:13" ht="12.75">
      <c r="A811" s="74"/>
      <c r="B811" s="30"/>
      <c r="C811" s="30"/>
      <c r="D811" s="30"/>
      <c r="E811" s="30"/>
      <c r="M811" s="76"/>
    </row>
    <row r="812" spans="1:13" ht="12.75">
      <c r="A812" s="74"/>
      <c r="B812" s="30"/>
      <c r="C812" s="30"/>
      <c r="D812" s="30"/>
      <c r="E812" s="30"/>
      <c r="M812" s="76"/>
    </row>
    <row r="813" spans="1:13" ht="12.75">
      <c r="A813" s="74"/>
      <c r="B813" s="30"/>
      <c r="C813" s="30"/>
      <c r="D813" s="30"/>
      <c r="E813" s="30"/>
      <c r="M813" s="76"/>
    </row>
    <row r="814" spans="1:13" ht="12.75">
      <c r="A814" s="74"/>
      <c r="B814" s="30"/>
      <c r="C814" s="30"/>
      <c r="D814" s="30"/>
      <c r="E814" s="30"/>
      <c r="M814" s="76"/>
    </row>
    <row r="815" spans="1:13" ht="12.75">
      <c r="A815" s="74"/>
      <c r="B815" s="30"/>
      <c r="C815" s="30"/>
      <c r="D815" s="30"/>
      <c r="E815" s="30"/>
      <c r="M815" s="76"/>
    </row>
    <row r="816" spans="1:13" ht="12.75">
      <c r="A816" s="74"/>
      <c r="B816" s="30"/>
      <c r="C816" s="30"/>
      <c r="D816" s="30"/>
      <c r="E816" s="30"/>
      <c r="M816" s="76"/>
    </row>
    <row r="817" spans="1:13" ht="12.75">
      <c r="A817" s="74"/>
      <c r="B817" s="30"/>
      <c r="C817" s="30"/>
      <c r="D817" s="30"/>
      <c r="E817" s="30"/>
      <c r="M817" s="76"/>
    </row>
    <row r="818" spans="1:13" ht="12.75">
      <c r="A818" s="74"/>
      <c r="B818" s="30"/>
      <c r="C818" s="30"/>
      <c r="D818" s="30"/>
      <c r="E818" s="30"/>
      <c r="M818" s="76"/>
    </row>
    <row r="819" spans="1:13" ht="12.75">
      <c r="A819" s="74"/>
      <c r="B819" s="30"/>
      <c r="C819" s="30"/>
      <c r="D819" s="30"/>
      <c r="E819" s="30"/>
      <c r="M819" s="76"/>
    </row>
    <row r="820" spans="1:13" ht="12.75">
      <c r="A820" s="74"/>
      <c r="B820" s="30"/>
      <c r="C820" s="30"/>
      <c r="D820" s="30"/>
      <c r="E820" s="30"/>
      <c r="M820" s="76"/>
    </row>
    <row r="821" spans="1:13" ht="12.75">
      <c r="A821" s="74"/>
      <c r="B821" s="30"/>
      <c r="C821" s="30"/>
      <c r="D821" s="30"/>
      <c r="E821" s="30"/>
      <c r="M821" s="76"/>
    </row>
    <row r="822" spans="1:13" ht="12.75">
      <c r="A822" s="74"/>
      <c r="B822" s="30"/>
      <c r="C822" s="30"/>
      <c r="D822" s="30"/>
      <c r="E822" s="30"/>
      <c r="M822" s="76"/>
    </row>
    <row r="823" spans="1:13" ht="12.75">
      <c r="A823" s="74"/>
      <c r="B823" s="30"/>
      <c r="C823" s="30"/>
      <c r="D823" s="30"/>
      <c r="E823" s="30"/>
      <c r="M823" s="76"/>
    </row>
    <row r="824" spans="1:13" ht="12.75">
      <c r="A824" s="74"/>
      <c r="B824" s="30"/>
      <c r="C824" s="30"/>
      <c r="D824" s="30"/>
      <c r="E824" s="30"/>
      <c r="M824" s="76"/>
    </row>
    <row r="825" spans="1:13" ht="12.75">
      <c r="A825" s="74"/>
      <c r="B825" s="30"/>
      <c r="C825" s="30"/>
      <c r="D825" s="30"/>
      <c r="E825" s="30"/>
      <c r="M825" s="76"/>
    </row>
    <row r="826" spans="1:13" ht="12.75">
      <c r="A826" s="74"/>
      <c r="B826" s="30"/>
      <c r="C826" s="30"/>
      <c r="D826" s="30"/>
      <c r="E826" s="30"/>
      <c r="M826" s="76"/>
    </row>
    <row r="827" spans="1:13" ht="12.75">
      <c r="A827" s="74"/>
      <c r="B827" s="30"/>
      <c r="C827" s="30"/>
      <c r="D827" s="30"/>
      <c r="E827" s="30"/>
      <c r="M827" s="76"/>
    </row>
    <row r="828" spans="1:13" ht="12.75">
      <c r="A828" s="74"/>
      <c r="B828" s="30"/>
      <c r="C828" s="30"/>
      <c r="D828" s="30"/>
      <c r="E828" s="30"/>
      <c r="M828" s="76"/>
    </row>
    <row r="829" spans="1:13" ht="12.75">
      <c r="A829" s="74"/>
      <c r="B829" s="30"/>
      <c r="C829" s="30"/>
      <c r="D829" s="30"/>
      <c r="E829" s="30"/>
      <c r="M829" s="76"/>
    </row>
    <row r="830" spans="1:13" ht="12.75">
      <c r="A830" s="74"/>
      <c r="B830" s="30"/>
      <c r="C830" s="30"/>
      <c r="D830" s="30"/>
      <c r="E830" s="30"/>
      <c r="M830" s="76"/>
    </row>
    <row r="831" spans="1:13" ht="12.75">
      <c r="A831" s="74"/>
      <c r="B831" s="30"/>
      <c r="C831" s="30"/>
      <c r="D831" s="30"/>
      <c r="E831" s="30"/>
      <c r="M831" s="76"/>
    </row>
    <row r="832" spans="1:13" ht="12.75">
      <c r="A832" s="74"/>
      <c r="B832" s="30"/>
      <c r="C832" s="30"/>
      <c r="D832" s="30"/>
      <c r="E832" s="30"/>
      <c r="M832" s="76"/>
    </row>
    <row r="833" spans="1:13" ht="12.75">
      <c r="A833" s="74"/>
      <c r="B833" s="30"/>
      <c r="C833" s="30"/>
      <c r="D833" s="30"/>
      <c r="E833" s="30"/>
      <c r="M833" s="76"/>
    </row>
    <row r="834" spans="1:13" ht="12.75">
      <c r="A834" s="74"/>
      <c r="B834" s="30"/>
      <c r="C834" s="30"/>
      <c r="D834" s="30"/>
      <c r="E834" s="30"/>
      <c r="M834" s="76"/>
    </row>
    <row r="835" spans="1:13" ht="12.75">
      <c r="A835" s="74"/>
      <c r="B835" s="30"/>
      <c r="C835" s="30"/>
      <c r="D835" s="30"/>
      <c r="E835" s="30"/>
      <c r="M835" s="76"/>
    </row>
    <row r="836" spans="1:13" ht="12.75">
      <c r="A836" s="74"/>
      <c r="B836" s="30"/>
      <c r="C836" s="30"/>
      <c r="D836" s="30"/>
      <c r="E836" s="30"/>
      <c r="M836" s="76"/>
    </row>
    <row r="837" spans="1:13" ht="12.75">
      <c r="A837" s="74"/>
      <c r="B837" s="30"/>
      <c r="C837" s="30"/>
      <c r="D837" s="30"/>
      <c r="E837" s="30"/>
      <c r="M837" s="76"/>
    </row>
    <row r="838" spans="1:13" ht="12.75">
      <c r="A838" s="74"/>
      <c r="B838" s="30"/>
      <c r="C838" s="30"/>
      <c r="D838" s="30"/>
      <c r="E838" s="30"/>
      <c r="M838" s="76"/>
    </row>
    <row r="839" spans="1:13" ht="12.75">
      <c r="A839" s="74"/>
      <c r="B839" s="30"/>
      <c r="C839" s="30"/>
      <c r="D839" s="30"/>
      <c r="E839" s="30"/>
      <c r="M839" s="76"/>
    </row>
    <row r="840" spans="1:13" ht="12.75">
      <c r="A840" s="74"/>
      <c r="B840" s="30"/>
      <c r="C840" s="30"/>
      <c r="D840" s="30"/>
      <c r="E840" s="30"/>
      <c r="M840" s="76"/>
    </row>
    <row r="841" spans="1:13" ht="12.75">
      <c r="A841" s="74"/>
      <c r="B841" s="30"/>
      <c r="C841" s="30"/>
      <c r="D841" s="30"/>
      <c r="E841" s="30"/>
      <c r="M841" s="76"/>
    </row>
    <row r="842" spans="1:13" ht="12.75">
      <c r="A842" s="74"/>
      <c r="B842" s="30"/>
      <c r="C842" s="30"/>
      <c r="D842" s="30"/>
      <c r="E842" s="30"/>
      <c r="M842" s="76"/>
    </row>
    <row r="843" spans="1:13" ht="12.75">
      <c r="A843" s="74"/>
      <c r="B843" s="30"/>
      <c r="C843" s="30"/>
      <c r="D843" s="30"/>
      <c r="E843" s="30"/>
      <c r="M843" s="76"/>
    </row>
    <row r="844" spans="1:13" ht="12.75">
      <c r="A844" s="74"/>
      <c r="B844" s="30"/>
      <c r="C844" s="30"/>
      <c r="D844" s="30"/>
      <c r="E844" s="30"/>
      <c r="M844" s="76"/>
    </row>
    <row r="845" spans="1:13" ht="12.75">
      <c r="A845" s="74"/>
      <c r="B845" s="30"/>
      <c r="C845" s="30"/>
      <c r="D845" s="30"/>
      <c r="E845" s="30"/>
      <c r="M845" s="76"/>
    </row>
    <row r="846" spans="1:13" ht="12.75">
      <c r="A846" s="74"/>
      <c r="B846" s="30"/>
      <c r="C846" s="30"/>
      <c r="D846" s="30"/>
      <c r="E846" s="30"/>
      <c r="M846" s="76"/>
    </row>
    <row r="847" spans="1:13" ht="12.75">
      <c r="A847" s="74"/>
      <c r="B847" s="30"/>
      <c r="C847" s="30"/>
      <c r="D847" s="30"/>
      <c r="E847" s="30"/>
      <c r="M847" s="76"/>
    </row>
    <row r="848" spans="1:13" ht="12.75">
      <c r="A848" s="74"/>
      <c r="B848" s="30"/>
      <c r="C848" s="30"/>
      <c r="D848" s="30"/>
      <c r="E848" s="30"/>
      <c r="M848" s="76"/>
    </row>
    <row r="849" spans="1:13" ht="12.75">
      <c r="A849" s="74"/>
      <c r="B849" s="30"/>
      <c r="C849" s="30"/>
      <c r="D849" s="30"/>
      <c r="E849" s="30"/>
      <c r="M849" s="76"/>
    </row>
    <row r="850" spans="1:13" ht="12.75">
      <c r="A850" s="74"/>
      <c r="B850" s="30"/>
      <c r="C850" s="30"/>
      <c r="D850" s="30"/>
      <c r="E850" s="30"/>
      <c r="M850" s="76"/>
    </row>
    <row r="851" spans="1:13" ht="12.75">
      <c r="A851" s="74"/>
      <c r="B851" s="30"/>
      <c r="C851" s="30"/>
      <c r="D851" s="30"/>
      <c r="E851" s="30"/>
      <c r="M851" s="76"/>
    </row>
    <row r="852" spans="1:13" ht="12.75">
      <c r="A852" s="74"/>
      <c r="B852" s="30"/>
      <c r="C852" s="30"/>
      <c r="D852" s="30"/>
      <c r="E852" s="30"/>
      <c r="M852" s="76"/>
    </row>
    <row r="853" spans="1:13" ht="12.75">
      <c r="A853" s="74"/>
      <c r="B853" s="30"/>
      <c r="C853" s="30"/>
      <c r="D853" s="30"/>
      <c r="E853" s="30"/>
      <c r="M853" s="76"/>
    </row>
    <row r="854" spans="1:13" ht="12.75">
      <c r="A854" s="74"/>
      <c r="B854" s="30"/>
      <c r="C854" s="30"/>
      <c r="D854" s="30"/>
      <c r="E854" s="30"/>
      <c r="M854" s="76"/>
    </row>
    <row r="855" spans="1:13" ht="12.75">
      <c r="A855" s="74"/>
      <c r="B855" s="30"/>
      <c r="C855" s="30"/>
      <c r="D855" s="30"/>
      <c r="E855" s="30"/>
      <c r="M855" s="76"/>
    </row>
    <row r="856" spans="1:13" ht="12.75">
      <c r="A856" s="74"/>
      <c r="B856" s="30"/>
      <c r="C856" s="30"/>
      <c r="D856" s="30"/>
      <c r="E856" s="30"/>
      <c r="M856" s="76"/>
    </row>
    <row r="857" spans="1:13" ht="12.75">
      <c r="A857" s="74"/>
      <c r="B857" s="30"/>
      <c r="C857" s="30"/>
      <c r="D857" s="30"/>
      <c r="E857" s="30"/>
      <c r="M857" s="76"/>
    </row>
    <row r="858" spans="1:13" ht="12.75">
      <c r="A858" s="74"/>
      <c r="B858" s="30"/>
      <c r="C858" s="30"/>
      <c r="D858" s="30"/>
      <c r="E858" s="30"/>
      <c r="M858" s="76"/>
    </row>
    <row r="859" spans="1:13" ht="12.75">
      <c r="A859" s="74"/>
      <c r="B859" s="30"/>
      <c r="C859" s="30"/>
      <c r="D859" s="30"/>
      <c r="E859" s="30"/>
      <c r="M859" s="76"/>
    </row>
    <row r="860" spans="1:13" ht="12.75">
      <c r="A860" s="74"/>
      <c r="B860" s="30"/>
      <c r="C860" s="30"/>
      <c r="D860" s="30"/>
      <c r="E860" s="30"/>
      <c r="M860" s="76"/>
    </row>
    <row r="861" spans="1:13" ht="12.75">
      <c r="A861" s="74"/>
      <c r="B861" s="30"/>
      <c r="C861" s="30"/>
      <c r="D861" s="30"/>
      <c r="E861" s="30"/>
      <c r="M861" s="76"/>
    </row>
    <row r="862" spans="1:13" ht="12.75">
      <c r="A862" s="74"/>
      <c r="B862" s="30"/>
      <c r="C862" s="30"/>
      <c r="D862" s="30"/>
      <c r="E862" s="30"/>
      <c r="M862" s="76"/>
    </row>
    <row r="863" spans="1:13" ht="12.75">
      <c r="A863" s="74"/>
      <c r="B863" s="30"/>
      <c r="C863" s="30"/>
      <c r="D863" s="30"/>
      <c r="E863" s="30"/>
      <c r="M863" s="76"/>
    </row>
    <row r="864" spans="1:13" ht="12.75">
      <c r="A864" s="74"/>
      <c r="B864" s="30"/>
      <c r="C864" s="30"/>
      <c r="D864" s="30"/>
      <c r="E864" s="30"/>
      <c r="M864" s="76"/>
    </row>
    <row r="865" spans="1:13" ht="12.75">
      <c r="A865" s="74"/>
      <c r="B865" s="30"/>
      <c r="C865" s="30"/>
      <c r="D865" s="30"/>
      <c r="E865" s="30"/>
      <c r="M865" s="76"/>
    </row>
    <row r="866" spans="1:13" ht="12.75">
      <c r="A866" s="74"/>
      <c r="B866" s="30"/>
      <c r="C866" s="30"/>
      <c r="D866" s="30"/>
      <c r="E866" s="30"/>
      <c r="M866" s="76"/>
    </row>
    <row r="867" spans="1:13" ht="12.75">
      <c r="A867" s="74"/>
      <c r="B867" s="30"/>
      <c r="C867" s="30"/>
      <c r="D867" s="30"/>
      <c r="E867" s="30"/>
      <c r="M867" s="76"/>
    </row>
    <row r="868" spans="1:13" ht="12.75">
      <c r="A868" s="74"/>
      <c r="B868" s="30"/>
      <c r="C868" s="30"/>
      <c r="D868" s="30"/>
      <c r="E868" s="30"/>
      <c r="M868" s="76"/>
    </row>
    <row r="869" spans="1:13" ht="12.75">
      <c r="A869" s="74"/>
      <c r="B869" s="30"/>
      <c r="C869" s="30"/>
      <c r="D869" s="30"/>
      <c r="E869" s="30"/>
      <c r="M869" s="76"/>
    </row>
    <row r="870" spans="1:13" ht="12.75">
      <c r="A870" s="74"/>
      <c r="B870" s="30"/>
      <c r="C870" s="30"/>
      <c r="D870" s="30"/>
      <c r="E870" s="30"/>
      <c r="M870" s="76"/>
    </row>
    <row r="871" spans="1:13" ht="12.75">
      <c r="A871" s="74"/>
      <c r="B871" s="30"/>
      <c r="C871" s="30"/>
      <c r="D871" s="30"/>
      <c r="E871" s="30"/>
      <c r="M871" s="76"/>
    </row>
    <row r="872" spans="1:13" ht="12.75">
      <c r="A872" s="74"/>
      <c r="B872" s="30"/>
      <c r="C872" s="30"/>
      <c r="D872" s="30"/>
      <c r="E872" s="30"/>
      <c r="M872" s="76"/>
    </row>
    <row r="873" spans="1:13" ht="12.75">
      <c r="A873" s="74"/>
      <c r="B873" s="30"/>
      <c r="C873" s="30"/>
      <c r="D873" s="30"/>
      <c r="E873" s="30"/>
      <c r="M873" s="76"/>
    </row>
    <row r="874" spans="1:13" ht="12.75">
      <c r="A874" s="74"/>
      <c r="B874" s="30"/>
      <c r="C874" s="30"/>
      <c r="D874" s="30"/>
      <c r="E874" s="30"/>
      <c r="M874" s="76"/>
    </row>
    <row r="875" spans="1:13" ht="12.75">
      <c r="A875" s="74"/>
      <c r="B875" s="30"/>
      <c r="C875" s="30"/>
      <c r="D875" s="30"/>
      <c r="E875" s="30"/>
      <c r="M875" s="76"/>
    </row>
    <row r="876" spans="1:13" ht="12.75">
      <c r="A876" s="74"/>
      <c r="B876" s="30"/>
      <c r="C876" s="30"/>
      <c r="D876" s="30"/>
      <c r="E876" s="30"/>
      <c r="M876" s="76"/>
    </row>
    <row r="877" spans="1:13" ht="12.75">
      <c r="A877" s="74"/>
      <c r="B877" s="30"/>
      <c r="C877" s="30"/>
      <c r="D877" s="30"/>
      <c r="E877" s="30"/>
      <c r="M877" s="76"/>
    </row>
    <row r="878" spans="1:13" ht="12.75">
      <c r="A878" s="74"/>
      <c r="B878" s="30"/>
      <c r="C878" s="30"/>
      <c r="D878" s="30"/>
      <c r="E878" s="30"/>
      <c r="M878" s="76"/>
    </row>
    <row r="879" spans="1:13" ht="12.75">
      <c r="A879" s="74"/>
      <c r="B879" s="30"/>
      <c r="C879" s="30"/>
      <c r="D879" s="30"/>
      <c r="E879" s="30"/>
      <c r="M879" s="76"/>
    </row>
    <row r="880" spans="1:13" ht="12.75">
      <c r="A880" s="74"/>
      <c r="B880" s="30"/>
      <c r="C880" s="30"/>
      <c r="D880" s="30"/>
      <c r="E880" s="30"/>
      <c r="M880" s="76"/>
    </row>
    <row r="881" spans="1:13" ht="12.75">
      <c r="A881" s="74"/>
      <c r="B881" s="30"/>
      <c r="C881" s="30"/>
      <c r="D881" s="30"/>
      <c r="E881" s="30"/>
      <c r="M881" s="76"/>
    </row>
    <row r="882" spans="1:13" ht="12.75">
      <c r="A882" s="74"/>
      <c r="B882" s="30"/>
      <c r="C882" s="30"/>
      <c r="D882" s="30"/>
      <c r="E882" s="30"/>
      <c r="M882" s="76"/>
    </row>
    <row r="883" spans="1:13" ht="12.75">
      <c r="A883" s="74"/>
      <c r="B883" s="30"/>
      <c r="C883" s="30"/>
      <c r="D883" s="30"/>
      <c r="E883" s="30"/>
      <c r="M883" s="76"/>
    </row>
    <row r="884" spans="1:13" ht="12.75">
      <c r="A884" s="74"/>
      <c r="B884" s="30"/>
      <c r="C884" s="30"/>
      <c r="D884" s="30"/>
      <c r="E884" s="30"/>
      <c r="M884" s="76"/>
    </row>
    <row r="885" spans="1:13" ht="12.75">
      <c r="A885" s="74"/>
      <c r="B885" s="30"/>
      <c r="C885" s="30"/>
      <c r="D885" s="30"/>
      <c r="E885" s="30"/>
      <c r="M885" s="76"/>
    </row>
    <row r="886" spans="1:13" ht="12.75">
      <c r="A886" s="74"/>
      <c r="B886" s="30"/>
      <c r="C886" s="30"/>
      <c r="D886" s="30"/>
      <c r="E886" s="30"/>
      <c r="M886" s="76"/>
    </row>
    <row r="887" spans="1:13" ht="12.75">
      <c r="A887" s="74"/>
      <c r="B887" s="30"/>
      <c r="C887" s="30"/>
      <c r="D887" s="30"/>
      <c r="E887" s="30"/>
      <c r="M887" s="76"/>
    </row>
    <row r="888" spans="1:13" ht="12.75">
      <c r="A888" s="74"/>
      <c r="B888" s="30"/>
      <c r="C888" s="30"/>
      <c r="D888" s="30"/>
      <c r="E888" s="30"/>
      <c r="M888" s="76"/>
    </row>
    <row r="889" spans="1:13" ht="12.75">
      <c r="A889" s="74"/>
      <c r="B889" s="30"/>
      <c r="C889" s="30"/>
      <c r="D889" s="30"/>
      <c r="E889" s="30"/>
      <c r="M889" s="76"/>
    </row>
    <row r="890" spans="1:13" ht="12.75">
      <c r="A890" s="74"/>
      <c r="B890" s="30"/>
      <c r="C890" s="30"/>
      <c r="D890" s="30"/>
      <c r="E890" s="30"/>
      <c r="M890" s="76"/>
    </row>
    <row r="891" spans="1:13" ht="12.75">
      <c r="A891" s="74"/>
      <c r="B891" s="30"/>
      <c r="C891" s="30"/>
      <c r="D891" s="30"/>
      <c r="E891" s="30"/>
      <c r="M891" s="76"/>
    </row>
    <row r="892" spans="1:13" ht="12.75">
      <c r="A892" s="74"/>
      <c r="B892" s="30"/>
      <c r="C892" s="30"/>
      <c r="D892" s="30"/>
      <c r="E892" s="30"/>
      <c r="M892" s="76"/>
    </row>
    <row r="893" spans="1:13" ht="12.75">
      <c r="A893" s="74"/>
      <c r="B893" s="30"/>
      <c r="C893" s="30"/>
      <c r="D893" s="30"/>
      <c r="E893" s="30"/>
      <c r="M893" s="76"/>
    </row>
    <row r="894" spans="1:13" ht="12.75">
      <c r="A894" s="74"/>
      <c r="B894" s="30"/>
      <c r="C894" s="30"/>
      <c r="D894" s="30"/>
      <c r="E894" s="30"/>
      <c r="M894" s="76"/>
    </row>
    <row r="895" spans="1:13" ht="12.75">
      <c r="A895" s="74"/>
      <c r="B895" s="30"/>
      <c r="C895" s="30"/>
      <c r="D895" s="30"/>
      <c r="E895" s="30"/>
      <c r="M895" s="76"/>
    </row>
    <row r="896" spans="1:13" ht="12.75">
      <c r="A896" s="74"/>
      <c r="B896" s="30"/>
      <c r="C896" s="30"/>
      <c r="D896" s="30"/>
      <c r="E896" s="30"/>
      <c r="M896" s="76"/>
    </row>
    <row r="897" spans="1:13" ht="12.75">
      <c r="A897" s="74"/>
      <c r="B897" s="30"/>
      <c r="C897" s="30"/>
      <c r="D897" s="30"/>
      <c r="E897" s="30"/>
      <c r="M897" s="76"/>
    </row>
    <row r="898" spans="1:13" ht="12.75">
      <c r="A898" s="74"/>
      <c r="B898" s="30"/>
      <c r="C898" s="30"/>
      <c r="D898" s="30"/>
      <c r="E898" s="30"/>
      <c r="M898" s="76"/>
    </row>
    <row r="899" spans="1:13" ht="12.75">
      <c r="A899" s="74"/>
      <c r="B899" s="30"/>
      <c r="C899" s="30"/>
      <c r="D899" s="30"/>
      <c r="E899" s="30"/>
      <c r="M899" s="76"/>
    </row>
    <row r="900" spans="1:13" ht="12.75">
      <c r="A900" s="74"/>
      <c r="B900" s="30"/>
      <c r="C900" s="30"/>
      <c r="D900" s="30"/>
      <c r="E900" s="30"/>
      <c r="M900" s="76"/>
    </row>
    <row r="901" spans="1:13" ht="12.75">
      <c r="A901" s="74"/>
      <c r="B901" s="30"/>
      <c r="C901" s="30"/>
      <c r="D901" s="30"/>
      <c r="E901" s="30"/>
      <c r="M901" s="76"/>
    </row>
    <row r="902" spans="1:13" ht="12.75">
      <c r="A902" s="74"/>
      <c r="B902" s="30"/>
      <c r="C902" s="30"/>
      <c r="D902" s="30"/>
      <c r="E902" s="30"/>
      <c r="M902" s="76"/>
    </row>
    <row r="903" spans="1:13" ht="12.75">
      <c r="A903" s="74"/>
      <c r="B903" s="30"/>
      <c r="C903" s="30"/>
      <c r="D903" s="30"/>
      <c r="E903" s="30"/>
      <c r="M903" s="76"/>
    </row>
    <row r="904" spans="1:13" ht="12.75">
      <c r="A904" s="74"/>
      <c r="B904" s="30"/>
      <c r="C904" s="30"/>
      <c r="D904" s="30"/>
      <c r="E904" s="30"/>
      <c r="M904" s="76"/>
    </row>
    <row r="905" spans="1:13" ht="12.75">
      <c r="A905" s="74"/>
      <c r="B905" s="30"/>
      <c r="C905" s="30"/>
      <c r="D905" s="30"/>
      <c r="E905" s="30"/>
      <c r="M905" s="76"/>
    </row>
    <row r="906" spans="1:13" ht="12.75">
      <c r="A906" s="74"/>
      <c r="B906" s="30"/>
      <c r="C906" s="30"/>
      <c r="D906" s="30"/>
      <c r="E906" s="30"/>
      <c r="M906" s="76"/>
    </row>
    <row r="907" spans="1:13" ht="12.75">
      <c r="A907" s="74"/>
      <c r="B907" s="30"/>
      <c r="C907" s="30"/>
      <c r="D907" s="30"/>
      <c r="E907" s="30"/>
      <c r="M907" s="76"/>
    </row>
    <row r="908" spans="1:13" ht="12.75">
      <c r="A908" s="74"/>
      <c r="B908" s="30"/>
      <c r="C908" s="30"/>
      <c r="D908" s="30"/>
      <c r="E908" s="30"/>
      <c r="M908" s="76"/>
    </row>
    <row r="909" spans="1:13" ht="12.75">
      <c r="A909" s="74"/>
      <c r="B909" s="30"/>
      <c r="C909" s="30"/>
      <c r="D909" s="30"/>
      <c r="E909" s="30"/>
      <c r="M909" s="76"/>
    </row>
    <row r="910" spans="1:13" ht="12.75">
      <c r="A910" s="74"/>
      <c r="B910" s="30"/>
      <c r="C910" s="30"/>
      <c r="D910" s="30"/>
      <c r="E910" s="30"/>
      <c r="M910" s="76"/>
    </row>
    <row r="911" spans="1:13" ht="12.75">
      <c r="A911" s="74"/>
      <c r="B911" s="30"/>
      <c r="C911" s="30"/>
      <c r="D911" s="30"/>
      <c r="E911" s="30"/>
      <c r="M911" s="76"/>
    </row>
    <row r="912" spans="1:13" ht="12.75">
      <c r="A912" s="74"/>
      <c r="B912" s="30"/>
      <c r="C912" s="30"/>
      <c r="D912" s="30"/>
      <c r="E912" s="30"/>
      <c r="M912" s="76"/>
    </row>
    <row r="913" spans="1:13" ht="12.75">
      <c r="A913" s="74"/>
      <c r="B913" s="30"/>
      <c r="C913" s="30"/>
      <c r="D913" s="30"/>
      <c r="E913" s="30"/>
      <c r="M913" s="76"/>
    </row>
    <row r="914" spans="1:13" ht="12.75">
      <c r="A914" s="74"/>
      <c r="B914" s="30"/>
      <c r="C914" s="30"/>
      <c r="D914" s="30"/>
      <c r="E914" s="30"/>
      <c r="M914" s="76"/>
    </row>
    <row r="915" spans="1:13" ht="12.75">
      <c r="A915" s="74"/>
      <c r="B915" s="30"/>
      <c r="C915" s="30"/>
      <c r="D915" s="30"/>
      <c r="E915" s="30"/>
      <c r="M915" s="76"/>
    </row>
    <row r="916" spans="1:13" ht="12.75">
      <c r="A916" s="74"/>
      <c r="B916" s="30"/>
      <c r="C916" s="30"/>
      <c r="D916" s="30"/>
      <c r="E916" s="30"/>
      <c r="M916" s="76"/>
    </row>
    <row r="917" spans="1:13" ht="12.75">
      <c r="A917" s="74"/>
      <c r="B917" s="30"/>
      <c r="C917" s="30"/>
      <c r="D917" s="30"/>
      <c r="E917" s="30"/>
      <c r="M917" s="76"/>
    </row>
    <row r="918" spans="1:13" ht="12.75">
      <c r="A918" s="74"/>
      <c r="B918" s="30"/>
      <c r="C918" s="30"/>
      <c r="D918" s="30"/>
      <c r="E918" s="30"/>
      <c r="M918" s="76"/>
    </row>
    <row r="919" spans="1:13" ht="12.75">
      <c r="A919" s="74"/>
      <c r="B919" s="30"/>
      <c r="C919" s="30"/>
      <c r="D919" s="30"/>
      <c r="E919" s="30"/>
      <c r="M919" s="76"/>
    </row>
    <row r="920" spans="1:13" ht="12.75">
      <c r="A920" s="74"/>
      <c r="B920" s="30"/>
      <c r="C920" s="30"/>
      <c r="D920" s="30"/>
      <c r="E920" s="30"/>
      <c r="M920" s="76"/>
    </row>
    <row r="921" spans="1:13" ht="12.75">
      <c r="A921" s="74"/>
      <c r="B921" s="30"/>
      <c r="C921" s="30"/>
      <c r="D921" s="30"/>
      <c r="E921" s="30"/>
      <c r="M921" s="76"/>
    </row>
    <row r="922" spans="1:13" ht="12.75">
      <c r="A922" s="74"/>
      <c r="B922" s="30"/>
      <c r="C922" s="30"/>
      <c r="D922" s="30"/>
      <c r="E922" s="30"/>
      <c r="M922" s="76"/>
    </row>
    <row r="923" spans="1:13" ht="12.75">
      <c r="A923" s="74"/>
      <c r="B923" s="30"/>
      <c r="C923" s="30"/>
      <c r="D923" s="30"/>
      <c r="E923" s="30"/>
      <c r="M923" s="76"/>
    </row>
    <row r="924" spans="1:13" ht="12.75">
      <c r="A924" s="74"/>
      <c r="B924" s="30"/>
      <c r="C924" s="30"/>
      <c r="D924" s="30"/>
      <c r="E924" s="30"/>
      <c r="M924" s="76"/>
    </row>
    <row r="925" spans="1:13" ht="12.75">
      <c r="A925" s="74"/>
      <c r="B925" s="30"/>
      <c r="C925" s="30"/>
      <c r="D925" s="30"/>
      <c r="E925" s="30"/>
      <c r="M925" s="76"/>
    </row>
    <row r="926" spans="1:13" ht="12.75">
      <c r="A926" s="74"/>
      <c r="B926" s="30"/>
      <c r="C926" s="30"/>
      <c r="D926" s="30"/>
      <c r="E926" s="30"/>
      <c r="M926" s="76"/>
    </row>
    <row r="927" spans="1:13" ht="12.75">
      <c r="A927" s="74"/>
      <c r="B927" s="30"/>
      <c r="C927" s="30"/>
      <c r="D927" s="30"/>
      <c r="E927" s="30"/>
      <c r="M927" s="76"/>
    </row>
    <row r="928" spans="1:13" ht="12.75">
      <c r="A928" s="74"/>
      <c r="B928" s="30"/>
      <c r="C928" s="30"/>
      <c r="D928" s="30"/>
      <c r="E928" s="30"/>
      <c r="M928" s="76"/>
    </row>
    <row r="929" spans="1:13" ht="12.75">
      <c r="A929" s="74"/>
      <c r="B929" s="30"/>
      <c r="C929" s="30"/>
      <c r="D929" s="30"/>
      <c r="E929" s="30"/>
      <c r="M929" s="76"/>
    </row>
    <row r="930" spans="1:13" ht="12.75">
      <c r="A930" s="74"/>
      <c r="B930" s="30"/>
      <c r="C930" s="30"/>
      <c r="D930" s="30"/>
      <c r="E930" s="30"/>
      <c r="M930" s="76"/>
    </row>
    <row r="931" spans="1:13" ht="12.75">
      <c r="A931" s="74"/>
      <c r="B931" s="30"/>
      <c r="C931" s="30"/>
      <c r="D931" s="30"/>
      <c r="E931" s="30"/>
      <c r="M931" s="76"/>
    </row>
    <row r="932" spans="1:13" ht="12.75">
      <c r="A932" s="74"/>
      <c r="B932" s="30"/>
      <c r="C932" s="30"/>
      <c r="D932" s="30"/>
      <c r="E932" s="30"/>
      <c r="M932" s="76"/>
    </row>
    <row r="933" spans="1:13" ht="12.75">
      <c r="A933" s="74"/>
      <c r="B933" s="30"/>
      <c r="C933" s="30"/>
      <c r="D933" s="30"/>
      <c r="E933" s="30"/>
      <c r="M933" s="76"/>
    </row>
    <row r="934" spans="1:13" ht="12.75">
      <c r="A934" s="74"/>
      <c r="B934" s="30"/>
      <c r="C934" s="30"/>
      <c r="D934" s="30"/>
      <c r="E934" s="30"/>
      <c r="M934" s="76"/>
    </row>
    <row r="935" spans="1:13" ht="12.75">
      <c r="A935" s="74"/>
      <c r="B935" s="30"/>
      <c r="C935" s="30"/>
      <c r="D935" s="30"/>
      <c r="E935" s="30"/>
      <c r="M935" s="76"/>
    </row>
    <row r="936" spans="1:13" ht="12.75">
      <c r="A936" s="74"/>
      <c r="B936" s="30"/>
      <c r="C936" s="30"/>
      <c r="D936" s="30"/>
      <c r="E936" s="30"/>
      <c r="M936" s="76"/>
    </row>
    <row r="937" spans="1:13" ht="12.75">
      <c r="A937" s="74"/>
      <c r="B937" s="30"/>
      <c r="C937" s="30"/>
      <c r="D937" s="30"/>
      <c r="E937" s="30"/>
      <c r="M937" s="76"/>
    </row>
    <row r="938" spans="1:13" ht="12.75">
      <c r="A938" s="74"/>
      <c r="B938" s="30"/>
      <c r="C938" s="30"/>
      <c r="D938" s="30"/>
      <c r="E938" s="30"/>
      <c r="M938" s="76"/>
    </row>
    <row r="939" spans="1:13" ht="12.75">
      <c r="A939" s="74"/>
      <c r="B939" s="30"/>
      <c r="C939" s="30"/>
      <c r="D939" s="30"/>
      <c r="E939" s="30"/>
      <c r="M939" s="76"/>
    </row>
    <row r="940" spans="1:13" ht="12.75">
      <c r="A940" s="74"/>
      <c r="B940" s="30"/>
      <c r="C940" s="30"/>
      <c r="D940" s="30"/>
      <c r="E940" s="30"/>
      <c r="M940" s="76"/>
    </row>
    <row r="941" spans="1:13" ht="12.75">
      <c r="A941" s="74"/>
      <c r="B941" s="30"/>
      <c r="C941" s="30"/>
      <c r="D941" s="30"/>
      <c r="E941" s="30"/>
      <c r="M941" s="76"/>
    </row>
    <row r="942" spans="1:13" ht="12.75">
      <c r="A942" s="74"/>
      <c r="B942" s="30"/>
      <c r="C942" s="30"/>
      <c r="D942" s="30"/>
      <c r="E942" s="30"/>
      <c r="M942" s="76"/>
    </row>
    <row r="943" spans="1:13" ht="12.75">
      <c r="A943" s="74"/>
      <c r="B943" s="30"/>
      <c r="C943" s="30"/>
      <c r="D943" s="30"/>
      <c r="E943" s="30"/>
      <c r="M943" s="76"/>
    </row>
    <row r="944" spans="1:13" ht="12.75">
      <c r="A944" s="74"/>
      <c r="B944" s="30"/>
      <c r="C944" s="30"/>
      <c r="D944" s="30"/>
      <c r="E944" s="30"/>
      <c r="M944" s="76"/>
    </row>
    <row r="945" spans="1:13" ht="12.75">
      <c r="A945" s="74"/>
      <c r="B945" s="30"/>
      <c r="C945" s="30"/>
      <c r="D945" s="30"/>
      <c r="E945" s="30"/>
      <c r="M945" s="76"/>
    </row>
    <row r="946" spans="1:13" ht="12.75">
      <c r="A946" s="74"/>
      <c r="B946" s="30"/>
      <c r="C946" s="30"/>
      <c r="D946" s="30"/>
      <c r="E946" s="30"/>
      <c r="M946" s="76"/>
    </row>
    <row r="947" spans="1:13" ht="12.75">
      <c r="A947" s="74"/>
      <c r="B947" s="30"/>
      <c r="C947" s="30"/>
      <c r="D947" s="30"/>
      <c r="E947" s="30"/>
      <c r="M947" s="76"/>
    </row>
    <row r="948" spans="1:13" ht="12.75">
      <c r="A948" s="74"/>
      <c r="B948" s="30"/>
      <c r="C948" s="30"/>
      <c r="D948" s="30"/>
      <c r="E948" s="30"/>
      <c r="M948" s="76"/>
    </row>
    <row r="949" spans="1:13" ht="12.75">
      <c r="A949" s="74"/>
      <c r="B949" s="30"/>
      <c r="C949" s="30"/>
      <c r="D949" s="30"/>
      <c r="E949" s="30"/>
      <c r="M949" s="76"/>
    </row>
    <row r="950" spans="1:13" ht="12.75">
      <c r="A950" s="74"/>
      <c r="B950" s="30"/>
      <c r="C950" s="30"/>
      <c r="D950" s="30"/>
      <c r="E950" s="30"/>
      <c r="M950" s="76"/>
    </row>
    <row r="951" spans="1:13" ht="12.75">
      <c r="A951" s="74"/>
      <c r="B951" s="30"/>
      <c r="C951" s="30"/>
      <c r="D951" s="30"/>
      <c r="E951" s="30"/>
      <c r="M951" s="76"/>
    </row>
    <row r="952" spans="1:13" ht="12.75">
      <c r="A952" s="74"/>
      <c r="B952" s="30"/>
      <c r="C952" s="30"/>
      <c r="D952" s="30"/>
      <c r="E952" s="30"/>
      <c r="M952" s="76"/>
    </row>
    <row r="953" spans="1:13" ht="12.75">
      <c r="A953" s="74"/>
      <c r="B953" s="30"/>
      <c r="C953" s="30"/>
      <c r="D953" s="30"/>
      <c r="E953" s="30"/>
      <c r="M953" s="76"/>
    </row>
    <row r="954" spans="1:13" ht="12.75">
      <c r="A954" s="74"/>
      <c r="B954" s="30"/>
      <c r="C954" s="30"/>
      <c r="D954" s="30"/>
      <c r="E954" s="30"/>
      <c r="M954" s="76"/>
    </row>
    <row r="955" spans="1:13" ht="12.75">
      <c r="A955" s="74"/>
      <c r="B955" s="30"/>
      <c r="C955" s="30"/>
      <c r="D955" s="30"/>
      <c r="E955" s="30"/>
      <c r="M955" s="76"/>
    </row>
    <row r="956" spans="1:13" ht="12.75">
      <c r="A956" s="74"/>
      <c r="B956" s="30"/>
      <c r="C956" s="30"/>
      <c r="D956" s="30"/>
      <c r="E956" s="30"/>
      <c r="M956" s="76"/>
    </row>
    <row r="957" spans="1:13" ht="12.75">
      <c r="A957" s="74"/>
      <c r="B957" s="30"/>
      <c r="C957" s="30"/>
      <c r="D957" s="30"/>
      <c r="E957" s="30"/>
      <c r="M957" s="76"/>
    </row>
    <row r="958" spans="1:13" ht="12.75">
      <c r="A958" s="74"/>
      <c r="B958" s="30"/>
      <c r="C958" s="30"/>
      <c r="D958" s="30"/>
      <c r="E958" s="30"/>
      <c r="M958" s="76"/>
    </row>
    <row r="959" spans="1:13" ht="12.75">
      <c r="A959" s="74"/>
      <c r="B959" s="30"/>
      <c r="C959" s="30"/>
      <c r="D959" s="30"/>
      <c r="E959" s="30"/>
      <c r="M959" s="76"/>
    </row>
    <row r="960" spans="1:13" ht="12.75">
      <c r="A960" s="74"/>
      <c r="B960" s="30"/>
      <c r="C960" s="30"/>
      <c r="D960" s="30"/>
      <c r="E960" s="30"/>
      <c r="M960" s="76"/>
    </row>
    <row r="961" spans="1:13" ht="12.75">
      <c r="A961" s="74"/>
      <c r="B961" s="30"/>
      <c r="C961" s="30"/>
      <c r="D961" s="30"/>
      <c r="E961" s="30"/>
      <c r="M961" s="76"/>
    </row>
    <row r="962" spans="1:13" ht="12.75">
      <c r="A962" s="74"/>
      <c r="B962" s="30"/>
      <c r="C962" s="30"/>
      <c r="D962" s="30"/>
      <c r="E962" s="30"/>
      <c r="M962" s="76"/>
    </row>
    <row r="963" spans="1:13" ht="12.75">
      <c r="A963" s="74"/>
      <c r="B963" s="30"/>
      <c r="C963" s="30"/>
      <c r="D963" s="30"/>
      <c r="E963" s="30"/>
      <c r="M963" s="76"/>
    </row>
    <row r="964" spans="1:13" ht="12.75">
      <c r="A964" s="74"/>
      <c r="B964" s="30"/>
      <c r="C964" s="30"/>
      <c r="D964" s="30"/>
      <c r="E964" s="30"/>
      <c r="M964" s="76"/>
    </row>
    <row r="965" spans="1:13" ht="12.75">
      <c r="A965" s="74"/>
      <c r="B965" s="30"/>
      <c r="C965" s="30"/>
      <c r="D965" s="30"/>
      <c r="E965" s="30"/>
      <c r="M965" s="76"/>
    </row>
    <row r="966" spans="1:13" ht="12.75">
      <c r="A966" s="74"/>
      <c r="B966" s="30"/>
      <c r="C966" s="30"/>
      <c r="D966" s="30"/>
      <c r="E966" s="30"/>
      <c r="M966" s="76"/>
    </row>
    <row r="967" spans="1:13" ht="12.75">
      <c r="A967" s="74"/>
      <c r="B967" s="30"/>
      <c r="C967" s="30"/>
      <c r="D967" s="30"/>
      <c r="E967" s="30"/>
      <c r="M967" s="76"/>
    </row>
    <row r="968" spans="1:13" ht="12.75">
      <c r="A968" s="74"/>
      <c r="B968" s="30"/>
      <c r="C968" s="30"/>
      <c r="D968" s="30"/>
      <c r="E968" s="30"/>
      <c r="M968" s="76"/>
    </row>
    <row r="969" spans="1:13" ht="12.75">
      <c r="A969" s="74"/>
      <c r="B969" s="30"/>
      <c r="C969" s="30"/>
      <c r="D969" s="30"/>
      <c r="E969" s="30"/>
      <c r="M969" s="76"/>
    </row>
    <row r="970" spans="1:13" ht="12.75">
      <c r="A970" s="74"/>
      <c r="B970" s="30"/>
      <c r="C970" s="30"/>
      <c r="D970" s="30"/>
      <c r="E970" s="30"/>
      <c r="M970" s="76"/>
    </row>
    <row r="971" spans="1:13" ht="12.75">
      <c r="A971" s="74"/>
      <c r="B971" s="30"/>
      <c r="C971" s="30"/>
      <c r="D971" s="30"/>
      <c r="E971" s="30"/>
      <c r="M971" s="76"/>
    </row>
    <row r="972" spans="1:13" ht="12.75">
      <c r="A972" s="74"/>
      <c r="B972" s="30"/>
      <c r="C972" s="30"/>
      <c r="D972" s="30"/>
      <c r="E972" s="30"/>
      <c r="M972" s="76"/>
    </row>
    <row r="973" spans="1:13" ht="12.75">
      <c r="A973" s="74"/>
      <c r="B973" s="30"/>
      <c r="C973" s="30"/>
      <c r="D973" s="30"/>
      <c r="E973" s="30"/>
      <c r="M973" s="76"/>
    </row>
    <row r="974" spans="1:13" ht="12.75">
      <c r="A974" s="74"/>
      <c r="B974" s="30"/>
      <c r="C974" s="30"/>
      <c r="D974" s="30"/>
      <c r="E974" s="30"/>
      <c r="M974" s="76"/>
    </row>
    <row r="975" spans="1:13" ht="12.75">
      <c r="A975" s="74"/>
      <c r="B975" s="30"/>
      <c r="C975" s="30"/>
      <c r="D975" s="30"/>
      <c r="E975" s="30"/>
      <c r="M975" s="76"/>
    </row>
    <row r="976" spans="1:13" ht="12.75">
      <c r="A976" s="74"/>
      <c r="B976" s="30"/>
      <c r="C976" s="30"/>
      <c r="D976" s="30"/>
      <c r="E976" s="30"/>
      <c r="M976" s="76"/>
    </row>
    <row r="977" spans="1:13" ht="12.75">
      <c r="A977" s="74"/>
      <c r="B977" s="30"/>
      <c r="C977" s="30"/>
      <c r="D977" s="30"/>
      <c r="E977" s="30"/>
      <c r="M977" s="76"/>
    </row>
    <row r="978" spans="1:13" ht="12.75">
      <c r="A978" s="74"/>
      <c r="B978" s="30"/>
      <c r="C978" s="30"/>
      <c r="D978" s="30"/>
      <c r="E978" s="30"/>
      <c r="M978" s="76"/>
    </row>
    <row r="979" spans="1:13" ht="12.75">
      <c r="A979" s="74"/>
      <c r="B979" s="30"/>
      <c r="C979" s="30"/>
      <c r="D979" s="30"/>
      <c r="E979" s="30"/>
      <c r="M979" s="76"/>
    </row>
    <row r="980" spans="1:13" ht="12.75">
      <c r="A980" s="74"/>
      <c r="B980" s="30"/>
      <c r="C980" s="30"/>
      <c r="D980" s="30"/>
      <c r="E980" s="30"/>
      <c r="M980" s="76"/>
    </row>
    <row r="981" spans="1:13" ht="12.75">
      <c r="A981" s="74"/>
      <c r="B981" s="30"/>
      <c r="C981" s="30"/>
      <c r="D981" s="30"/>
      <c r="E981" s="30"/>
      <c r="M981" s="76"/>
    </row>
    <row r="982" spans="1:13" ht="12.75">
      <c r="A982" s="74"/>
      <c r="B982" s="30"/>
      <c r="C982" s="30"/>
      <c r="D982" s="30"/>
      <c r="E982" s="30"/>
      <c r="M982" s="76"/>
    </row>
    <row r="983" spans="1:13" ht="12.75">
      <c r="A983" s="74"/>
      <c r="B983" s="30"/>
      <c r="C983" s="30"/>
      <c r="D983" s="30"/>
      <c r="E983" s="30"/>
      <c r="M983" s="76"/>
    </row>
    <row r="984" spans="1:13" ht="12.75">
      <c r="A984" s="74"/>
      <c r="B984" s="30"/>
      <c r="C984" s="30"/>
      <c r="D984" s="30"/>
      <c r="E984" s="30"/>
      <c r="M984" s="76"/>
    </row>
    <row r="985" spans="1:13" ht="12.75">
      <c r="A985" s="74"/>
      <c r="B985" s="30"/>
      <c r="C985" s="30"/>
      <c r="D985" s="30"/>
      <c r="E985" s="30"/>
      <c r="M985" s="76"/>
    </row>
    <row r="986" spans="1:13" ht="12.75">
      <c r="A986" s="74"/>
      <c r="B986" s="30"/>
      <c r="C986" s="30"/>
      <c r="D986" s="30"/>
      <c r="E986" s="30"/>
      <c r="M986" s="76"/>
    </row>
    <row r="987" spans="1:13" ht="12.75">
      <c r="A987" s="74"/>
      <c r="B987" s="30"/>
      <c r="C987" s="30"/>
      <c r="D987" s="30"/>
      <c r="E987" s="30"/>
      <c r="M987" s="76"/>
    </row>
    <row r="988" spans="1:13" ht="12.75">
      <c r="A988" s="74"/>
      <c r="B988" s="30"/>
      <c r="C988" s="30"/>
      <c r="D988" s="30"/>
      <c r="E988" s="30"/>
      <c r="M988" s="76"/>
    </row>
    <row r="989" spans="1:13" ht="12.75">
      <c r="A989" s="74"/>
      <c r="B989" s="30"/>
      <c r="C989" s="30"/>
      <c r="D989" s="30"/>
      <c r="E989" s="30"/>
      <c r="M989" s="76"/>
    </row>
    <row r="990" spans="1:13" ht="12.75">
      <c r="A990" s="74"/>
      <c r="B990" s="30"/>
      <c r="C990" s="30"/>
      <c r="D990" s="30"/>
      <c r="E990" s="30"/>
      <c r="M990" s="76"/>
    </row>
    <row r="991" spans="1:13" ht="12.75">
      <c r="A991" s="74"/>
      <c r="B991" s="30"/>
      <c r="C991" s="30"/>
      <c r="D991" s="30"/>
      <c r="E991" s="30"/>
      <c r="M991" s="76"/>
    </row>
    <row r="992" spans="1:13" ht="12.75">
      <c r="A992" s="74"/>
      <c r="B992" s="30"/>
      <c r="C992" s="30"/>
      <c r="D992" s="30"/>
      <c r="E992" s="30"/>
      <c r="M992" s="76"/>
    </row>
    <row r="993" spans="1:13" ht="12.75">
      <c r="A993" s="74"/>
      <c r="B993" s="30"/>
      <c r="C993" s="30"/>
      <c r="D993" s="30"/>
      <c r="E993" s="30"/>
      <c r="M993" s="76"/>
    </row>
    <row r="994" spans="1:13" ht="12.75">
      <c r="A994" s="74"/>
      <c r="B994" s="30"/>
      <c r="C994" s="30"/>
      <c r="D994" s="30"/>
      <c r="E994" s="30"/>
      <c r="M994" s="76"/>
    </row>
    <row r="995" spans="1:13" ht="12.75">
      <c r="A995" s="74"/>
      <c r="B995" s="30"/>
      <c r="C995" s="30"/>
      <c r="D995" s="30"/>
      <c r="E995" s="30"/>
      <c r="M995" s="76"/>
    </row>
    <row r="996" spans="1:13" ht="12.75">
      <c r="A996" s="74"/>
      <c r="B996" s="30"/>
      <c r="C996" s="30"/>
      <c r="D996" s="30"/>
      <c r="E996" s="30"/>
      <c r="M996" s="76"/>
    </row>
    <row r="997" spans="1:13" ht="12.75">
      <c r="A997" s="74"/>
      <c r="B997" s="30"/>
      <c r="C997" s="30"/>
      <c r="D997" s="30"/>
      <c r="E997" s="30"/>
      <c r="M997" s="76"/>
    </row>
    <row r="998" spans="1:13" ht="12.75">
      <c r="A998" s="74"/>
      <c r="B998" s="30"/>
      <c r="C998" s="30"/>
      <c r="D998" s="30"/>
      <c r="E998" s="30"/>
      <c r="M998" s="76"/>
    </row>
    <row r="999" spans="1:13" ht="12.75">
      <c r="A999" s="74"/>
      <c r="B999" s="30"/>
      <c r="C999" s="30"/>
      <c r="D999" s="30"/>
      <c r="E999" s="30"/>
      <c r="M999" s="76"/>
    </row>
    <row r="1000" spans="1:13" ht="12.75">
      <c r="A1000" s="74"/>
      <c r="B1000" s="30"/>
      <c r="C1000" s="30"/>
      <c r="D1000" s="30"/>
      <c r="E1000" s="30"/>
      <c r="M1000" s="76"/>
    </row>
    <row r="1001" spans="1:13" ht="12.75">
      <c r="A1001" s="74"/>
      <c r="B1001" s="30"/>
      <c r="C1001" s="30"/>
      <c r="D1001" s="30"/>
      <c r="E1001" s="30"/>
      <c r="M1001" s="76"/>
    </row>
    <row r="1002" spans="1:13" ht="12.75">
      <c r="A1002" s="74"/>
      <c r="B1002" s="30"/>
      <c r="C1002" s="30"/>
      <c r="D1002" s="30"/>
      <c r="E1002" s="30"/>
      <c r="M1002" s="76"/>
    </row>
  </sheetData>
  <mergeCells count="10">
    <mergeCell ref="C37:C39"/>
    <mergeCell ref="C40:C42"/>
    <mergeCell ref="I14:I16"/>
    <mergeCell ref="I25:I27"/>
    <mergeCell ref="I19:I21"/>
    <mergeCell ref="C14:C16"/>
    <mergeCell ref="C19:C21"/>
    <mergeCell ref="B14:B21"/>
    <mergeCell ref="B25:B36"/>
    <mergeCell ref="I28:I3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1"/>
  <sheetViews>
    <sheetView workbookViewId="0"/>
  </sheetViews>
  <sheetFormatPr defaultColWidth="14.42578125" defaultRowHeight="15.75" customHeight="1"/>
  <cols>
    <col min="3" max="3" width="18.140625" customWidth="1"/>
    <col min="4" max="5" width="15.5703125" customWidth="1"/>
    <col min="7" max="7" width="24.28515625" customWidth="1"/>
    <col min="8" max="8" width="18.28515625" customWidth="1"/>
  </cols>
  <sheetData>
    <row r="1" spans="1:18" ht="15.75" customHeight="1">
      <c r="A1" s="1" t="s">
        <v>0</v>
      </c>
      <c r="B1" s="1" t="s">
        <v>1</v>
      </c>
      <c r="C1" s="1" t="s">
        <v>2</v>
      </c>
      <c r="D1" s="1" t="s">
        <v>3</v>
      </c>
      <c r="E1" s="1" t="s">
        <v>4</v>
      </c>
      <c r="F1" s="1" t="s">
        <v>5</v>
      </c>
      <c r="H1" s="1" t="s">
        <v>6</v>
      </c>
      <c r="I1" s="1" t="s">
        <v>7</v>
      </c>
      <c r="J1" s="1" t="s">
        <v>8</v>
      </c>
      <c r="K1" s="1" t="s">
        <v>9</v>
      </c>
      <c r="L1" s="1" t="s">
        <v>10</v>
      </c>
      <c r="M1" s="2" t="s">
        <v>11</v>
      </c>
      <c r="N1" s="1" t="s">
        <v>12</v>
      </c>
      <c r="O1" s="1" t="s">
        <v>13</v>
      </c>
      <c r="P1" s="1" t="s">
        <v>14</v>
      </c>
      <c r="R1" s="1" t="s">
        <v>15</v>
      </c>
    </row>
    <row r="2" spans="1:18" ht="15.75" customHeight="1">
      <c r="D2" s="1"/>
      <c r="G2" s="1" t="s">
        <v>16</v>
      </c>
      <c r="R2" s="1">
        <v>340</v>
      </c>
    </row>
    <row r="3" spans="1:18" ht="15.75" customHeight="1">
      <c r="A3" s="1">
        <v>1</v>
      </c>
      <c r="B3" s="1" t="s">
        <v>17</v>
      </c>
      <c r="C3" s="1">
        <v>4</v>
      </c>
      <c r="D3" s="1" t="s">
        <v>17</v>
      </c>
      <c r="E3" s="3">
        <v>0.625</v>
      </c>
      <c r="F3" s="1" t="s">
        <v>78</v>
      </c>
      <c r="G3" s="1" t="s">
        <v>17</v>
      </c>
      <c r="H3" s="1">
        <v>12608</v>
      </c>
      <c r="J3" s="1">
        <v>347</v>
      </c>
      <c r="K3" s="1">
        <v>1292</v>
      </c>
      <c r="L3" s="1">
        <v>48</v>
      </c>
      <c r="N3" s="3">
        <v>0.62847222222222221</v>
      </c>
    </row>
    <row r="4" spans="1:18" ht="15.75" customHeight="1">
      <c r="A4" s="1">
        <f t="shared" ref="A4:A5" si="0">A3+1</f>
        <v>2</v>
      </c>
      <c r="B4" s="1" t="s">
        <v>18</v>
      </c>
      <c r="C4" s="1">
        <v>4</v>
      </c>
      <c r="D4" s="1" t="s">
        <v>18</v>
      </c>
      <c r="E4" s="3">
        <v>0.625</v>
      </c>
      <c r="F4" s="1" t="s">
        <v>78</v>
      </c>
      <c r="G4" s="1" t="s">
        <v>18</v>
      </c>
      <c r="H4" s="1">
        <v>12400</v>
      </c>
      <c r="J4" s="1">
        <v>345</v>
      </c>
      <c r="K4" s="1">
        <v>1247</v>
      </c>
      <c r="L4" s="1">
        <v>53</v>
      </c>
      <c r="P4" s="1"/>
    </row>
    <row r="5" spans="1:18" ht="15.75" customHeight="1">
      <c r="A5" s="1">
        <f t="shared" si="0"/>
        <v>3</v>
      </c>
      <c r="B5" s="1" t="s">
        <v>19</v>
      </c>
      <c r="C5" s="1">
        <v>4</v>
      </c>
      <c r="D5" s="1" t="s">
        <v>19</v>
      </c>
      <c r="E5" s="3">
        <v>0.625</v>
      </c>
      <c r="F5" s="1" t="s">
        <v>78</v>
      </c>
      <c r="G5" s="1" t="s">
        <v>19</v>
      </c>
      <c r="H5" s="1">
        <v>11950</v>
      </c>
      <c r="I5" s="1">
        <v>2.5</v>
      </c>
      <c r="J5" s="1">
        <v>340</v>
      </c>
      <c r="K5" s="1">
        <v>1207</v>
      </c>
      <c r="L5" s="1">
        <v>38</v>
      </c>
    </row>
    <row r="6" spans="1:18" ht="15.75" customHeight="1">
      <c r="A6" s="1">
        <v>4</v>
      </c>
      <c r="B6" s="1" t="s">
        <v>20</v>
      </c>
      <c r="C6" s="1">
        <v>4</v>
      </c>
      <c r="D6" s="1" t="s">
        <v>20</v>
      </c>
      <c r="E6" s="3">
        <v>0.86111111111111116</v>
      </c>
      <c r="F6" s="1" t="s">
        <v>79</v>
      </c>
      <c r="G6" s="1" t="s">
        <v>20</v>
      </c>
      <c r="H6" s="1">
        <v>13200</v>
      </c>
      <c r="I6" s="1"/>
      <c r="J6" s="1">
        <v>366</v>
      </c>
      <c r="K6" s="1">
        <v>1060</v>
      </c>
      <c r="L6" s="1">
        <v>148</v>
      </c>
      <c r="N6" s="1" t="s">
        <v>80</v>
      </c>
      <c r="P6" s="1"/>
    </row>
    <row r="7" spans="1:18" ht="15.75" customHeight="1">
      <c r="A7" s="1">
        <f t="shared" ref="A7:A22" si="1">A6+1</f>
        <v>5</v>
      </c>
      <c r="B7" s="1" t="s">
        <v>21</v>
      </c>
      <c r="C7" s="1">
        <v>4</v>
      </c>
      <c r="D7" s="1" t="s">
        <v>21</v>
      </c>
      <c r="E7" s="3">
        <v>0.86111111111111116</v>
      </c>
      <c r="F7" s="1" t="s">
        <v>79</v>
      </c>
      <c r="G7" s="1" t="s">
        <v>21</v>
      </c>
      <c r="H7" s="1">
        <v>13058</v>
      </c>
      <c r="J7" s="1">
        <v>359</v>
      </c>
      <c r="K7" s="1">
        <v>1080</v>
      </c>
      <c r="L7" s="1">
        <v>111</v>
      </c>
    </row>
    <row r="8" spans="1:18" ht="15.75" customHeight="1">
      <c r="A8" s="1">
        <f t="shared" si="1"/>
        <v>6</v>
      </c>
      <c r="B8" s="1" t="s">
        <v>22</v>
      </c>
      <c r="C8" s="1">
        <v>4</v>
      </c>
      <c r="D8" s="1" t="s">
        <v>22</v>
      </c>
      <c r="E8" s="3">
        <v>0.86111111111111116</v>
      </c>
      <c r="F8" s="1" t="s">
        <v>79</v>
      </c>
      <c r="G8" s="1" t="s">
        <v>22</v>
      </c>
      <c r="H8" s="1">
        <v>12541</v>
      </c>
      <c r="I8" s="1"/>
      <c r="J8" s="1">
        <v>367</v>
      </c>
      <c r="K8" s="1">
        <v>1172</v>
      </c>
      <c r="L8" s="1">
        <v>71</v>
      </c>
    </row>
    <row r="9" spans="1:18" ht="15.75" customHeight="1">
      <c r="A9" s="1">
        <f t="shared" si="1"/>
        <v>7</v>
      </c>
      <c r="B9" s="1" t="s">
        <v>23</v>
      </c>
      <c r="C9" s="1">
        <v>4</v>
      </c>
      <c r="D9" s="1" t="s">
        <v>23</v>
      </c>
      <c r="E9" s="3">
        <v>0.14583333333333334</v>
      </c>
      <c r="F9" s="1" t="s">
        <v>81</v>
      </c>
      <c r="G9" s="1" t="s">
        <v>23</v>
      </c>
      <c r="H9" s="1">
        <v>13318</v>
      </c>
      <c r="I9" s="1"/>
      <c r="J9" s="1">
        <v>372</v>
      </c>
      <c r="K9" s="1">
        <v>905</v>
      </c>
      <c r="L9" s="1">
        <v>159</v>
      </c>
      <c r="N9" s="1" t="s">
        <v>82</v>
      </c>
    </row>
    <row r="10" spans="1:18" ht="15.75" customHeight="1">
      <c r="A10" s="1">
        <f t="shared" si="1"/>
        <v>8</v>
      </c>
      <c r="B10" s="1" t="s">
        <v>24</v>
      </c>
      <c r="C10" s="1">
        <v>4</v>
      </c>
      <c r="D10" s="1" t="s">
        <v>24</v>
      </c>
      <c r="E10" s="3">
        <v>0.14583333333333334</v>
      </c>
      <c r="F10" s="1" t="s">
        <v>81</v>
      </c>
      <c r="G10" s="1" t="s">
        <v>24</v>
      </c>
      <c r="H10" s="1">
        <v>13546</v>
      </c>
      <c r="I10" s="1"/>
      <c r="J10" s="1">
        <v>413</v>
      </c>
      <c r="K10" s="1">
        <v>722</v>
      </c>
      <c r="L10" s="1">
        <v>229</v>
      </c>
    </row>
    <row r="11" spans="1:18" ht="15.75" customHeight="1">
      <c r="A11" s="1">
        <f t="shared" si="1"/>
        <v>9</v>
      </c>
      <c r="B11" s="1" t="s">
        <v>25</v>
      </c>
      <c r="C11" s="1">
        <v>4</v>
      </c>
      <c r="D11" s="1" t="s">
        <v>25</v>
      </c>
      <c r="E11" s="3">
        <v>0.14583333333333334</v>
      </c>
      <c r="F11" s="1" t="s">
        <v>81</v>
      </c>
      <c r="G11" s="1" t="s">
        <v>25</v>
      </c>
      <c r="H11" s="1">
        <v>13284</v>
      </c>
      <c r="I11" s="1"/>
      <c r="J11" s="1">
        <v>374</v>
      </c>
      <c r="K11" s="1">
        <v>753</v>
      </c>
      <c r="L11" s="1">
        <v>187</v>
      </c>
      <c r="P11" s="1"/>
    </row>
    <row r="12" spans="1:18" ht="15.75" customHeight="1">
      <c r="A12" s="1">
        <f t="shared" si="1"/>
        <v>10</v>
      </c>
      <c r="B12" s="1" t="s">
        <v>26</v>
      </c>
      <c r="C12" s="1">
        <v>4</v>
      </c>
      <c r="D12" s="1" t="s">
        <v>26</v>
      </c>
      <c r="E12" s="3">
        <v>0.25</v>
      </c>
      <c r="F12" s="1" t="s">
        <v>83</v>
      </c>
      <c r="G12" s="1" t="s">
        <v>26</v>
      </c>
      <c r="H12" s="1">
        <v>14200</v>
      </c>
      <c r="J12" s="1">
        <v>400</v>
      </c>
      <c r="K12" s="1">
        <v>614</v>
      </c>
      <c r="L12" s="1">
        <v>276</v>
      </c>
      <c r="N12" s="1" t="s">
        <v>84</v>
      </c>
    </row>
    <row r="13" spans="1:18" ht="15.75" customHeight="1">
      <c r="A13" s="1">
        <f t="shared" si="1"/>
        <v>11</v>
      </c>
      <c r="B13" s="1" t="s">
        <v>27</v>
      </c>
      <c r="C13" s="1">
        <v>4</v>
      </c>
      <c r="D13" s="1" t="s">
        <v>27</v>
      </c>
      <c r="E13" s="3">
        <v>0.25</v>
      </c>
      <c r="F13" s="1" t="s">
        <v>83</v>
      </c>
      <c r="G13" s="1" t="s">
        <v>27</v>
      </c>
      <c r="H13" s="1">
        <v>13076</v>
      </c>
      <c r="J13" s="1">
        <v>366</v>
      </c>
      <c r="K13" s="1">
        <v>922</v>
      </c>
      <c r="L13" s="1">
        <v>165</v>
      </c>
    </row>
    <row r="14" spans="1:18" ht="15.75" customHeight="1">
      <c r="A14" s="1">
        <f t="shared" si="1"/>
        <v>12</v>
      </c>
      <c r="B14" s="1" t="s">
        <v>28</v>
      </c>
      <c r="C14" s="1">
        <v>4</v>
      </c>
      <c r="D14" s="1" t="s">
        <v>28</v>
      </c>
      <c r="E14" s="3">
        <v>0.25</v>
      </c>
      <c r="F14" s="1" t="s">
        <v>83</v>
      </c>
      <c r="G14" s="1" t="s">
        <v>28</v>
      </c>
      <c r="H14" s="1">
        <v>13018</v>
      </c>
      <c r="I14" s="1"/>
      <c r="J14" s="1">
        <v>368</v>
      </c>
      <c r="K14" s="1">
        <v>824</v>
      </c>
      <c r="L14" s="1">
        <v>179</v>
      </c>
    </row>
    <row r="15" spans="1:18" ht="15.75" customHeight="1">
      <c r="A15" s="1">
        <f t="shared" si="1"/>
        <v>13</v>
      </c>
      <c r="B15" s="1" t="s">
        <v>29</v>
      </c>
      <c r="C15" s="1">
        <v>4</v>
      </c>
      <c r="D15" s="1" t="s">
        <v>29</v>
      </c>
      <c r="E15" s="3">
        <v>0.33333333333333331</v>
      </c>
      <c r="F15" s="1" t="s">
        <v>85</v>
      </c>
      <c r="G15" s="1" t="s">
        <v>17</v>
      </c>
      <c r="H15" s="1">
        <v>13739</v>
      </c>
      <c r="I15" s="1"/>
      <c r="J15" s="1">
        <v>403</v>
      </c>
      <c r="K15" s="1">
        <v>748</v>
      </c>
      <c r="L15" s="1">
        <v>216</v>
      </c>
      <c r="N15" s="1" t="s">
        <v>86</v>
      </c>
    </row>
    <row r="16" spans="1:18" ht="15.75" customHeight="1">
      <c r="A16" s="1">
        <f t="shared" si="1"/>
        <v>14</v>
      </c>
      <c r="B16" s="1" t="s">
        <v>30</v>
      </c>
      <c r="C16" s="1">
        <v>4</v>
      </c>
      <c r="D16" s="1" t="s">
        <v>30</v>
      </c>
      <c r="E16" s="3">
        <v>0.33333333333333331</v>
      </c>
      <c r="F16" s="1" t="s">
        <v>85</v>
      </c>
      <c r="G16" s="1" t="s">
        <v>18</v>
      </c>
      <c r="H16" s="1">
        <v>13558</v>
      </c>
      <c r="J16" s="1">
        <v>411</v>
      </c>
      <c r="K16" s="1">
        <v>704</v>
      </c>
      <c r="L16" s="1">
        <v>217</v>
      </c>
    </row>
    <row r="17" spans="1:14" ht="15.75" customHeight="1">
      <c r="A17" s="1">
        <f t="shared" si="1"/>
        <v>15</v>
      </c>
      <c r="B17" s="1" t="s">
        <v>31</v>
      </c>
      <c r="C17" s="1">
        <v>4</v>
      </c>
      <c r="D17" s="1" t="s">
        <v>31</v>
      </c>
      <c r="E17" s="3">
        <v>0.33333333333333331</v>
      </c>
      <c r="F17" s="1" t="s">
        <v>85</v>
      </c>
      <c r="G17" s="1" t="s">
        <v>19</v>
      </c>
      <c r="H17" s="1">
        <v>13689</v>
      </c>
      <c r="J17" s="1">
        <v>396</v>
      </c>
      <c r="K17" s="1">
        <v>594</v>
      </c>
      <c r="L17" s="1">
        <v>245</v>
      </c>
    </row>
    <row r="18" spans="1:14" ht="15.75" customHeight="1">
      <c r="A18" s="1">
        <f t="shared" si="1"/>
        <v>16</v>
      </c>
      <c r="B18" s="1" t="s">
        <v>32</v>
      </c>
      <c r="C18" s="1">
        <v>4</v>
      </c>
      <c r="D18" s="1" t="s">
        <v>33</v>
      </c>
      <c r="E18" s="3">
        <v>0.41666666666666669</v>
      </c>
      <c r="F18" s="1" t="s">
        <v>87</v>
      </c>
      <c r="G18" s="1" t="s">
        <v>20</v>
      </c>
      <c r="H18" s="1">
        <v>14226</v>
      </c>
      <c r="J18" s="1">
        <v>392</v>
      </c>
      <c r="K18" s="1">
        <v>637</v>
      </c>
      <c r="L18" s="1">
        <v>274</v>
      </c>
      <c r="N18" s="1" t="s">
        <v>88</v>
      </c>
    </row>
    <row r="19" spans="1:14" ht="15.75" customHeight="1">
      <c r="A19" s="1">
        <f t="shared" si="1"/>
        <v>17</v>
      </c>
      <c r="B19" s="1" t="s">
        <v>34</v>
      </c>
      <c r="C19" s="1">
        <v>4</v>
      </c>
      <c r="D19" s="1" t="s">
        <v>35</v>
      </c>
      <c r="E19" s="3">
        <v>0.41666666666666669</v>
      </c>
      <c r="F19" s="1" t="s">
        <v>87</v>
      </c>
      <c r="G19" s="1" t="s">
        <v>21</v>
      </c>
      <c r="H19" s="1">
        <v>14380</v>
      </c>
      <c r="J19" s="1">
        <v>439</v>
      </c>
      <c r="K19" s="1">
        <v>384</v>
      </c>
      <c r="L19" s="1">
        <v>350</v>
      </c>
    </row>
    <row r="20" spans="1:14" ht="15.75" customHeight="1">
      <c r="A20" s="1">
        <f t="shared" si="1"/>
        <v>18</v>
      </c>
      <c r="B20" s="1" t="s">
        <v>36</v>
      </c>
      <c r="C20" s="1">
        <v>4</v>
      </c>
      <c r="D20" s="1" t="s">
        <v>37</v>
      </c>
      <c r="E20" s="3">
        <v>0.41666666666666669</v>
      </c>
      <c r="F20" s="1" t="s">
        <v>87</v>
      </c>
      <c r="G20" s="1" t="s">
        <v>22</v>
      </c>
      <c r="H20" s="1">
        <v>13305</v>
      </c>
      <c r="I20" s="1"/>
      <c r="J20" s="1">
        <v>395</v>
      </c>
      <c r="K20" s="1">
        <v>778</v>
      </c>
      <c r="L20" s="1">
        <v>218</v>
      </c>
    </row>
    <row r="21" spans="1:14" ht="15.75" customHeight="1">
      <c r="A21" s="1">
        <f t="shared" si="1"/>
        <v>19</v>
      </c>
      <c r="B21" s="1" t="s">
        <v>38</v>
      </c>
      <c r="C21" s="1">
        <v>4</v>
      </c>
      <c r="D21" s="1" t="s">
        <v>39</v>
      </c>
      <c r="G21" s="1" t="s">
        <v>23</v>
      </c>
      <c r="H21" s="1">
        <v>14317.5</v>
      </c>
      <c r="I21" s="1"/>
      <c r="J21" s="1">
        <v>424.4</v>
      </c>
      <c r="K21" s="1">
        <v>469.8</v>
      </c>
      <c r="L21" s="1">
        <v>345.9</v>
      </c>
      <c r="N21" s="1" t="s">
        <v>89</v>
      </c>
    </row>
    <row r="22" spans="1:14" ht="15.75" customHeight="1">
      <c r="A22" s="1">
        <f t="shared" si="1"/>
        <v>20</v>
      </c>
      <c r="B22" s="1" t="s">
        <v>40</v>
      </c>
      <c r="C22" s="1">
        <v>4</v>
      </c>
      <c r="D22" s="1" t="s">
        <v>41</v>
      </c>
      <c r="G22" s="1" t="s">
        <v>24</v>
      </c>
      <c r="H22" s="1">
        <v>14114</v>
      </c>
      <c r="I22" s="1"/>
      <c r="J22" s="1">
        <v>413</v>
      </c>
      <c r="K22" s="1">
        <v>515</v>
      </c>
      <c r="L22" s="1">
        <v>312</v>
      </c>
    </row>
    <row r="23" spans="1:14" ht="15.75" customHeight="1">
      <c r="A23" s="1">
        <v>21</v>
      </c>
      <c r="B23" s="1" t="s">
        <v>42</v>
      </c>
      <c r="C23" s="1">
        <v>4</v>
      </c>
      <c r="D23" s="1" t="s">
        <v>43</v>
      </c>
      <c r="G23" s="1" t="s">
        <v>25</v>
      </c>
      <c r="H23" s="1">
        <v>13341</v>
      </c>
      <c r="J23" s="1">
        <v>400</v>
      </c>
      <c r="K23" s="1">
        <v>658</v>
      </c>
      <c r="L23" s="1">
        <v>232</v>
      </c>
    </row>
    <row r="24" spans="1:14" ht="15.75" customHeight="1">
      <c r="C24" s="1"/>
    </row>
    <row r="26" spans="1:14" ht="15.75" customHeight="1">
      <c r="C26" s="1"/>
      <c r="D26" s="1" t="s">
        <v>44</v>
      </c>
      <c r="E26" s="1">
        <v>0.3</v>
      </c>
    </row>
    <row r="27" spans="1:14" ht="15.75" customHeight="1">
      <c r="D27" s="1" t="s">
        <v>45</v>
      </c>
      <c r="E27" s="1" t="s">
        <v>46</v>
      </c>
      <c r="F27" s="1" t="s">
        <v>47</v>
      </c>
      <c r="H27" s="1" t="s">
        <v>48</v>
      </c>
      <c r="I27" s="1"/>
    </row>
    <row r="28" spans="1:14" ht="15.75" customHeight="1">
      <c r="D28" s="1" t="s">
        <v>49</v>
      </c>
      <c r="E28" s="1" t="s">
        <v>50</v>
      </c>
      <c r="F28" s="185" t="s">
        <v>51</v>
      </c>
      <c r="G28" s="186"/>
      <c r="I28" s="1"/>
    </row>
    <row r="29" spans="1:14" ht="15.75" customHeight="1">
      <c r="D29" s="1" t="s">
        <v>52</v>
      </c>
      <c r="E29" s="1">
        <v>1350</v>
      </c>
      <c r="F29">
        <f>E29/$E$26-E29</f>
        <v>3150</v>
      </c>
      <c r="H29">
        <f>E29+F29</f>
        <v>4500</v>
      </c>
      <c r="I29">
        <f>21*200</f>
        <v>4200</v>
      </c>
      <c r="J29" s="1"/>
    </row>
    <row r="30" spans="1:14" ht="15.75" customHeight="1">
      <c r="D30" s="1"/>
      <c r="E30" s="1"/>
      <c r="F30" s="5"/>
      <c r="G30" s="5"/>
      <c r="I30" s="1"/>
    </row>
    <row r="31" spans="1:14" ht="15.75" customHeight="1">
      <c r="C31" s="1"/>
      <c r="D31" s="1" t="s">
        <v>53</v>
      </c>
      <c r="E31">
        <f t="shared" ref="E31:F31" si="2">E29</f>
        <v>1350</v>
      </c>
      <c r="F31">
        <f t="shared" si="2"/>
        <v>3150</v>
      </c>
      <c r="I31" s="1"/>
    </row>
    <row r="32" spans="1:14" ht="15.75" customHeight="1">
      <c r="C32" s="1"/>
      <c r="D32" s="1"/>
      <c r="E32" s="1"/>
      <c r="F32" s="5"/>
      <c r="G32" s="5"/>
    </row>
    <row r="33" spans="1:13" ht="15.75" customHeight="1">
      <c r="C33" s="1"/>
      <c r="D33" s="1"/>
      <c r="E33" s="1"/>
    </row>
    <row r="34" spans="1:13" ht="15.75" customHeight="1">
      <c r="D34" s="1"/>
      <c r="E34" s="1"/>
      <c r="F34" s="5"/>
      <c r="G34" s="5"/>
      <c r="K34" s="1">
        <v>0.01</v>
      </c>
      <c r="L34" s="1" t="s">
        <v>56</v>
      </c>
    </row>
    <row r="35" spans="1:13" ht="15.75" customHeight="1">
      <c r="D35" s="1"/>
      <c r="E35" s="1"/>
      <c r="K35">
        <f>K34*1000</f>
        <v>10</v>
      </c>
      <c r="L35" s="1" t="s">
        <v>57</v>
      </c>
    </row>
    <row r="36" spans="1:13" ht="15.75" customHeight="1">
      <c r="K36">
        <f>K34*25</f>
        <v>0.25</v>
      </c>
    </row>
    <row r="39" spans="1:13" ht="12.75">
      <c r="K39">
        <f>K34/0.7</f>
        <v>1.4285714285714287E-2</v>
      </c>
      <c r="L39">
        <f>K39*4</f>
        <v>5.7142857142857148E-2</v>
      </c>
    </row>
    <row r="40" spans="1:13" ht="12.75">
      <c r="A40" s="1" t="s">
        <v>58</v>
      </c>
      <c r="L40" s="1">
        <v>5.8500000000000003E-2</v>
      </c>
    </row>
    <row r="41" spans="1:13" ht="12.75">
      <c r="A41" s="1" t="s">
        <v>90</v>
      </c>
    </row>
    <row r="42" spans="1:13" ht="12.75">
      <c r="A42" s="1" t="s">
        <v>91</v>
      </c>
      <c r="G42" s="1" t="s">
        <v>61</v>
      </c>
      <c r="H42" s="1" t="s">
        <v>62</v>
      </c>
      <c r="I42">
        <f>4*21</f>
        <v>84</v>
      </c>
      <c r="J42" s="1" t="s">
        <v>63</v>
      </c>
      <c r="K42" s="1" t="s">
        <v>64</v>
      </c>
    </row>
    <row r="43" spans="1:13" ht="12.75">
      <c r="A43" s="1" t="s">
        <v>92</v>
      </c>
      <c r="G43" s="1">
        <v>52</v>
      </c>
      <c r="H43" s="1" t="s">
        <v>63</v>
      </c>
      <c r="K43" s="1" t="s">
        <v>66</v>
      </c>
    </row>
    <row r="44" spans="1:13" ht="12.75">
      <c r="A44" s="1" t="s">
        <v>93</v>
      </c>
      <c r="G44">
        <f>G43/1000</f>
        <v>5.1999999999999998E-2</v>
      </c>
      <c r="H44" s="1" t="s">
        <v>28</v>
      </c>
      <c r="L44" s="1"/>
    </row>
    <row r="45" spans="1:13" ht="12.75">
      <c r="A45" s="1" t="s">
        <v>68</v>
      </c>
      <c r="L45" s="1"/>
      <c r="M45" s="1"/>
    </row>
    <row r="46" spans="1:13" ht="12.75">
      <c r="A46" s="1" t="s">
        <v>69</v>
      </c>
      <c r="G46" s="1">
        <v>10</v>
      </c>
      <c r="H46" s="1" t="s">
        <v>57</v>
      </c>
      <c r="I46">
        <f>G44*G46</f>
        <v>0.52</v>
      </c>
      <c r="J46" s="1" t="s">
        <v>70</v>
      </c>
      <c r="K46" s="1" t="s">
        <v>71</v>
      </c>
      <c r="L46" s="1"/>
      <c r="M46" s="1"/>
    </row>
    <row r="47" spans="1:13" ht="12.75">
      <c r="A47" s="1" t="s">
        <v>94</v>
      </c>
      <c r="G47" s="1"/>
      <c r="H47" s="1"/>
      <c r="J47" s="1"/>
    </row>
    <row r="48" spans="1:13" ht="12.75">
      <c r="L48" s="1"/>
    </row>
    <row r="49" spans="1:26" ht="12.75">
      <c r="A49" s="1" t="s">
        <v>73</v>
      </c>
      <c r="L49" s="1"/>
    </row>
    <row r="50" spans="1:26" ht="12.75">
      <c r="A50" s="1" t="s">
        <v>95</v>
      </c>
      <c r="L50" s="1"/>
    </row>
    <row r="51" spans="1:26" ht="12.75">
      <c r="A51" s="1" t="s">
        <v>96</v>
      </c>
    </row>
    <row r="52" spans="1:26" ht="12.75">
      <c r="A52" s="1"/>
      <c r="Z52" s="1"/>
    </row>
    <row r="55" spans="1:26" ht="12.75">
      <c r="A55" s="1"/>
    </row>
    <row r="56" spans="1:26" ht="12.75">
      <c r="A56" s="1"/>
    </row>
    <row r="58" spans="1:26" ht="12.75">
      <c r="A58" s="1" t="s">
        <v>76</v>
      </c>
    </row>
    <row r="59" spans="1:26" ht="12.75">
      <c r="A59" s="1"/>
    </row>
    <row r="60" spans="1:26" ht="12.75">
      <c r="A60" s="1"/>
    </row>
    <row r="61" spans="1:26" ht="12.75">
      <c r="A61" s="1"/>
    </row>
  </sheetData>
  <mergeCells count="1">
    <mergeCell ref="F28:G2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
  <sheetViews>
    <sheetView workbookViewId="0"/>
  </sheetViews>
  <sheetFormatPr defaultColWidth="14.42578125" defaultRowHeight="15.75" customHeight="1"/>
  <cols>
    <col min="7" max="7" width="18.42578125" customWidth="1"/>
    <col min="8" max="9" width="15.28515625" customWidth="1"/>
  </cols>
  <sheetData>
    <row r="1" spans="1:29" ht="15.75" customHeight="1">
      <c r="A1" s="114" t="s">
        <v>1</v>
      </c>
      <c r="B1" s="110" t="s">
        <v>658</v>
      </c>
      <c r="C1" s="114" t="s">
        <v>659</v>
      </c>
      <c r="D1" s="114" t="s">
        <v>660</v>
      </c>
      <c r="E1" s="114" t="s">
        <v>661</v>
      </c>
      <c r="F1" s="110" t="s">
        <v>662</v>
      </c>
      <c r="G1" s="114" t="s">
        <v>97</v>
      </c>
      <c r="H1" s="110" t="s">
        <v>582</v>
      </c>
      <c r="I1" s="110" t="s">
        <v>585</v>
      </c>
      <c r="J1" s="114" t="s">
        <v>664</v>
      </c>
      <c r="K1" s="114" t="s">
        <v>665</v>
      </c>
      <c r="L1" s="114" t="s">
        <v>666</v>
      </c>
      <c r="M1" s="114" t="s">
        <v>667</v>
      </c>
      <c r="O1" s="1" t="s">
        <v>6</v>
      </c>
      <c r="P1" s="1" t="s">
        <v>7</v>
      </c>
      <c r="Q1" s="1" t="s">
        <v>8</v>
      </c>
      <c r="R1" s="1" t="s">
        <v>9</v>
      </c>
      <c r="S1" s="1" t="s">
        <v>10</v>
      </c>
      <c r="T1" s="103" t="s">
        <v>11</v>
      </c>
      <c r="U1" s="103" t="s">
        <v>397</v>
      </c>
      <c r="V1" s="1" t="s">
        <v>6</v>
      </c>
      <c r="W1" s="1" t="s">
        <v>7</v>
      </c>
      <c r="X1" s="1" t="s">
        <v>8</v>
      </c>
      <c r="Y1" s="1" t="s">
        <v>9</v>
      </c>
      <c r="Z1" s="1" t="s">
        <v>10</v>
      </c>
      <c r="AA1" s="103" t="s">
        <v>11</v>
      </c>
      <c r="AB1" s="103" t="s">
        <v>397</v>
      </c>
      <c r="AC1" s="103"/>
    </row>
    <row r="2" spans="1:29" ht="15.75" customHeight="1">
      <c r="A2" s="1"/>
      <c r="N2" s="1"/>
      <c r="U2" s="1">
        <v>340</v>
      </c>
      <c r="AB2" s="1">
        <v>340</v>
      </c>
      <c r="AC2" s="1"/>
    </row>
    <row r="3" spans="1:29" ht="15.75" customHeight="1">
      <c r="A3" s="110" t="s">
        <v>17</v>
      </c>
      <c r="B3" s="110" t="s">
        <v>669</v>
      </c>
      <c r="C3" s="112" t="s">
        <v>591</v>
      </c>
      <c r="D3" s="111">
        <v>4</v>
      </c>
      <c r="E3" s="127">
        <f t="shared" ref="E3:E5" si="0">D3+K3/1000</f>
        <v>4.2</v>
      </c>
      <c r="F3" s="112">
        <v>11</v>
      </c>
      <c r="G3" s="112">
        <v>2</v>
      </c>
      <c r="H3" s="112" t="s">
        <v>591</v>
      </c>
      <c r="I3" s="112">
        <v>15</v>
      </c>
      <c r="J3" s="111">
        <v>10</v>
      </c>
      <c r="K3" s="112">
        <v>200</v>
      </c>
      <c r="L3" s="112">
        <v>10</v>
      </c>
      <c r="M3" s="112">
        <v>50</v>
      </c>
      <c r="N3" s="110" t="s">
        <v>17</v>
      </c>
      <c r="O3" s="110">
        <v>12429</v>
      </c>
      <c r="P3" s="123"/>
      <c r="Q3" s="123">
        <v>355</v>
      </c>
      <c r="R3" s="123">
        <v>1317</v>
      </c>
      <c r="S3" s="123">
        <v>0</v>
      </c>
      <c r="T3" s="1">
        <f t="shared" ref="T3:T18" si="1">$U$2/Q3*R3</f>
        <v>1261.3521126760563</v>
      </c>
      <c r="V3" s="1">
        <v>12561</v>
      </c>
      <c r="W3" s="1">
        <v>0</v>
      </c>
      <c r="X3" s="1">
        <v>348.1</v>
      </c>
      <c r="Y3" s="1">
        <v>1302.9000000000001</v>
      </c>
      <c r="Z3" s="1">
        <v>41.1</v>
      </c>
      <c r="AA3" s="1">
        <f t="shared" ref="AA3:AA18" si="2">$AB$2/X3*Y3</f>
        <v>1272.5825912094226</v>
      </c>
    </row>
    <row r="4" spans="1:29" ht="15.75" customHeight="1">
      <c r="A4" s="110" t="s">
        <v>18</v>
      </c>
      <c r="B4" s="110" t="s">
        <v>669</v>
      </c>
      <c r="C4" s="112" t="s">
        <v>591</v>
      </c>
      <c r="D4" s="111">
        <v>4</v>
      </c>
      <c r="E4" s="127">
        <f t="shared" si="0"/>
        <v>4.2</v>
      </c>
      <c r="F4" s="112">
        <v>11</v>
      </c>
      <c r="G4" s="112">
        <v>2</v>
      </c>
      <c r="H4" s="112" t="s">
        <v>591</v>
      </c>
      <c r="I4" s="112">
        <v>15</v>
      </c>
      <c r="J4" s="111">
        <v>10</v>
      </c>
      <c r="K4" s="112">
        <v>200</v>
      </c>
      <c r="L4" s="112">
        <v>10</v>
      </c>
      <c r="M4" s="112">
        <v>50</v>
      </c>
      <c r="N4" s="110" t="s">
        <v>18</v>
      </c>
      <c r="O4" s="110">
        <v>12269</v>
      </c>
      <c r="P4" s="123"/>
      <c r="Q4" s="123">
        <v>313</v>
      </c>
      <c r="R4" s="123">
        <v>1190</v>
      </c>
      <c r="S4" s="123">
        <v>31</v>
      </c>
      <c r="T4" s="1">
        <f t="shared" si="1"/>
        <v>1292.6517571884983</v>
      </c>
      <c r="V4" s="1">
        <v>12686.8</v>
      </c>
      <c r="W4" s="1">
        <v>0</v>
      </c>
      <c r="X4" s="1">
        <v>324.60000000000002</v>
      </c>
      <c r="Y4" s="1">
        <v>1149.3</v>
      </c>
      <c r="Z4" s="1">
        <v>53.4</v>
      </c>
      <c r="AA4" s="1">
        <f t="shared" si="2"/>
        <v>1203.826247689464</v>
      </c>
    </row>
    <row r="5" spans="1:29" ht="15.75" customHeight="1">
      <c r="A5" s="110" t="s">
        <v>19</v>
      </c>
      <c r="B5" s="110" t="s">
        <v>669</v>
      </c>
      <c r="C5" s="112" t="s">
        <v>621</v>
      </c>
      <c r="D5" s="111">
        <v>4</v>
      </c>
      <c r="E5" s="127">
        <f t="shared" si="0"/>
        <v>4.12</v>
      </c>
      <c r="F5" s="112">
        <v>11</v>
      </c>
      <c r="G5" s="112">
        <v>1</v>
      </c>
      <c r="H5" s="112" t="s">
        <v>621</v>
      </c>
      <c r="I5" s="112">
        <v>15</v>
      </c>
      <c r="J5" s="111">
        <v>10</v>
      </c>
      <c r="K5" s="112">
        <v>120</v>
      </c>
      <c r="L5" s="112">
        <v>10</v>
      </c>
      <c r="M5" s="112">
        <v>50</v>
      </c>
      <c r="N5" s="110" t="s">
        <v>19</v>
      </c>
      <c r="O5" s="110">
        <v>13177</v>
      </c>
      <c r="P5" s="1"/>
      <c r="Q5" s="123">
        <v>392</v>
      </c>
      <c r="R5" s="1">
        <v>729</v>
      </c>
      <c r="S5" s="1">
        <v>223</v>
      </c>
      <c r="T5" s="1">
        <f t="shared" si="1"/>
        <v>632.29591836734687</v>
      </c>
      <c r="V5" s="1">
        <v>12638.7</v>
      </c>
      <c r="W5" s="1">
        <v>0</v>
      </c>
      <c r="X5" s="1">
        <v>662.9</v>
      </c>
      <c r="Y5" s="1">
        <v>176.2</v>
      </c>
      <c r="Z5" s="1">
        <v>410.5</v>
      </c>
      <c r="AA5" s="1">
        <f t="shared" si="2"/>
        <v>90.372605219490126</v>
      </c>
    </row>
    <row r="6" spans="1:29" ht="15.75" customHeight="1">
      <c r="A6" s="110" t="s">
        <v>20</v>
      </c>
      <c r="B6" s="110" t="s">
        <v>669</v>
      </c>
      <c r="C6" s="112" t="s">
        <v>621</v>
      </c>
      <c r="D6" s="112">
        <v>4</v>
      </c>
      <c r="E6" s="112">
        <v>4.12</v>
      </c>
      <c r="F6" s="112">
        <v>11</v>
      </c>
      <c r="G6" s="112">
        <v>1</v>
      </c>
      <c r="H6" s="112" t="s">
        <v>621</v>
      </c>
      <c r="I6" s="112">
        <v>15</v>
      </c>
      <c r="J6" s="111">
        <v>10</v>
      </c>
      <c r="K6" s="112">
        <v>120</v>
      </c>
      <c r="L6" s="112">
        <v>10</v>
      </c>
      <c r="M6" s="112">
        <v>50</v>
      </c>
      <c r="N6" s="110" t="s">
        <v>20</v>
      </c>
      <c r="O6" s="110">
        <v>12992</v>
      </c>
      <c r="P6" s="1"/>
      <c r="Q6" s="123">
        <v>357</v>
      </c>
      <c r="R6" s="1">
        <v>1013</v>
      </c>
      <c r="S6" s="1">
        <v>113</v>
      </c>
      <c r="T6" s="1">
        <f t="shared" si="1"/>
        <v>964.7619047619047</v>
      </c>
      <c r="V6" s="1">
        <v>13737.1</v>
      </c>
      <c r="W6" s="1">
        <v>0</v>
      </c>
      <c r="X6" s="1">
        <v>394.6</v>
      </c>
      <c r="Y6" s="1">
        <v>715</v>
      </c>
      <c r="Z6" s="1">
        <v>280.5</v>
      </c>
      <c r="AA6" s="1">
        <f t="shared" si="2"/>
        <v>616.0669031931069</v>
      </c>
    </row>
    <row r="7" spans="1:29" ht="15.75" customHeight="1">
      <c r="A7" s="110" t="s">
        <v>21</v>
      </c>
      <c r="B7" s="110" t="s">
        <v>675</v>
      </c>
      <c r="C7" s="112" t="s">
        <v>591</v>
      </c>
      <c r="D7" s="112">
        <v>4</v>
      </c>
      <c r="E7" s="112">
        <v>4.12</v>
      </c>
      <c r="F7" s="112">
        <v>11</v>
      </c>
      <c r="G7" s="112">
        <v>2</v>
      </c>
      <c r="H7" s="112" t="s">
        <v>591</v>
      </c>
      <c r="I7" s="112">
        <v>30</v>
      </c>
      <c r="J7" s="111">
        <v>10</v>
      </c>
      <c r="K7" s="112">
        <v>200</v>
      </c>
      <c r="L7" s="112">
        <v>10</v>
      </c>
      <c r="M7" s="112">
        <v>50</v>
      </c>
      <c r="N7" s="110" t="s">
        <v>21</v>
      </c>
      <c r="O7" s="110">
        <v>13202</v>
      </c>
      <c r="P7" s="1"/>
      <c r="Q7" s="123">
        <v>347</v>
      </c>
      <c r="R7" s="1">
        <v>764</v>
      </c>
      <c r="S7" s="1">
        <v>176</v>
      </c>
      <c r="T7" s="1">
        <f t="shared" si="1"/>
        <v>748.58789625360225</v>
      </c>
      <c r="V7" s="1">
        <v>13417.7</v>
      </c>
      <c r="W7" s="1">
        <v>0</v>
      </c>
      <c r="X7" s="1">
        <v>461</v>
      </c>
      <c r="Y7" s="1">
        <v>428.1</v>
      </c>
      <c r="Z7" s="1">
        <v>287.7</v>
      </c>
      <c r="AA7" s="1">
        <f t="shared" si="2"/>
        <v>315.73535791757052</v>
      </c>
    </row>
    <row r="8" spans="1:29" ht="15.75" customHeight="1">
      <c r="A8" s="110" t="s">
        <v>22</v>
      </c>
      <c r="B8" s="110" t="s">
        <v>675</v>
      </c>
      <c r="C8" s="112" t="s">
        <v>591</v>
      </c>
      <c r="D8" s="112">
        <v>4</v>
      </c>
      <c r="E8" s="112">
        <v>4.12</v>
      </c>
      <c r="F8" s="112">
        <v>11</v>
      </c>
      <c r="G8" s="112">
        <v>2</v>
      </c>
      <c r="H8" s="112" t="s">
        <v>591</v>
      </c>
      <c r="I8" s="112">
        <v>30</v>
      </c>
      <c r="J8" s="111">
        <v>10</v>
      </c>
      <c r="K8" s="112">
        <v>200</v>
      </c>
      <c r="L8" s="112">
        <v>10</v>
      </c>
      <c r="M8" s="112">
        <v>50</v>
      </c>
      <c r="N8" s="110" t="s">
        <v>22</v>
      </c>
      <c r="O8" s="110">
        <v>13226</v>
      </c>
      <c r="P8" s="1"/>
      <c r="Q8" s="1">
        <v>353</v>
      </c>
      <c r="R8" s="1">
        <v>730</v>
      </c>
      <c r="S8" s="1">
        <v>191</v>
      </c>
      <c r="T8" s="1">
        <f t="shared" si="1"/>
        <v>703.11614730878193</v>
      </c>
      <c r="V8" s="1">
        <v>14258.2</v>
      </c>
      <c r="W8" s="1">
        <v>0</v>
      </c>
      <c r="X8" s="1">
        <v>385.1</v>
      </c>
      <c r="Y8" s="1">
        <v>380.2</v>
      </c>
      <c r="Z8" s="1">
        <v>315.60000000000002</v>
      </c>
      <c r="AA8" s="1">
        <f t="shared" si="2"/>
        <v>335.67385094780576</v>
      </c>
    </row>
    <row r="9" spans="1:29" ht="15.75" customHeight="1">
      <c r="A9" s="110" t="s">
        <v>23</v>
      </c>
      <c r="B9" s="110" t="s">
        <v>675</v>
      </c>
      <c r="C9" s="112" t="s">
        <v>621</v>
      </c>
      <c r="D9" s="111">
        <v>4</v>
      </c>
      <c r="E9" s="127">
        <f>D9+K9/1000</f>
        <v>4.12</v>
      </c>
      <c r="F9" s="112">
        <v>11</v>
      </c>
      <c r="G9" s="112">
        <v>1</v>
      </c>
      <c r="H9" s="112" t="s">
        <v>621</v>
      </c>
      <c r="I9" s="112">
        <v>30</v>
      </c>
      <c r="J9" s="111">
        <v>10</v>
      </c>
      <c r="K9" s="112">
        <v>120</v>
      </c>
      <c r="L9" s="112">
        <v>10</v>
      </c>
      <c r="M9" s="112">
        <v>50</v>
      </c>
      <c r="N9" s="110" t="s">
        <v>23</v>
      </c>
      <c r="O9" s="110">
        <v>12920</v>
      </c>
      <c r="P9" s="123"/>
      <c r="Q9" s="123">
        <v>371</v>
      </c>
      <c r="R9" s="123">
        <v>815</v>
      </c>
      <c r="S9" s="123">
        <v>189</v>
      </c>
      <c r="T9" s="1">
        <f t="shared" si="1"/>
        <v>746.90026954177893</v>
      </c>
      <c r="V9" s="1">
        <v>13513.9</v>
      </c>
      <c r="W9" s="1">
        <v>0</v>
      </c>
      <c r="X9" s="1">
        <v>416.8</v>
      </c>
      <c r="Y9" s="1">
        <v>694.1</v>
      </c>
      <c r="Z9" s="1">
        <v>277.39999999999998</v>
      </c>
      <c r="AA9" s="1">
        <f t="shared" si="2"/>
        <v>566.20441458733205</v>
      </c>
    </row>
    <row r="10" spans="1:29" ht="15.75" customHeight="1">
      <c r="A10" s="110" t="s">
        <v>24</v>
      </c>
      <c r="B10" s="110" t="s">
        <v>675</v>
      </c>
      <c r="C10" s="112" t="s">
        <v>621</v>
      </c>
      <c r="D10" s="112">
        <v>4</v>
      </c>
      <c r="E10" s="112">
        <v>4.12</v>
      </c>
      <c r="F10" s="112">
        <v>11</v>
      </c>
      <c r="G10" s="112">
        <v>1</v>
      </c>
      <c r="H10" s="112" t="s">
        <v>621</v>
      </c>
      <c r="I10" s="112">
        <v>30</v>
      </c>
      <c r="J10" s="111">
        <v>10</v>
      </c>
      <c r="K10" s="112">
        <v>120</v>
      </c>
      <c r="L10" s="112">
        <v>10</v>
      </c>
      <c r="M10" s="112">
        <v>50</v>
      </c>
      <c r="N10" s="110" t="s">
        <v>24</v>
      </c>
      <c r="O10" s="110">
        <v>11794</v>
      </c>
      <c r="P10" s="1"/>
      <c r="Q10" s="123">
        <v>463</v>
      </c>
      <c r="R10" s="1">
        <v>979</v>
      </c>
      <c r="S10" s="1">
        <v>108</v>
      </c>
      <c r="T10" s="1">
        <f t="shared" si="1"/>
        <v>718.92008639308858</v>
      </c>
      <c r="V10" s="1">
        <v>12546.6</v>
      </c>
      <c r="W10" s="1">
        <v>0</v>
      </c>
      <c r="X10" s="1">
        <v>533.1</v>
      </c>
      <c r="Y10" s="1">
        <v>702.9</v>
      </c>
      <c r="Z10" s="1">
        <v>183.7</v>
      </c>
      <c r="AA10" s="1">
        <f t="shared" si="2"/>
        <v>448.29487900956661</v>
      </c>
    </row>
    <row r="11" spans="1:29" ht="15.75" customHeight="1">
      <c r="A11" s="110" t="s">
        <v>25</v>
      </c>
      <c r="B11" s="110" t="s">
        <v>678</v>
      </c>
      <c r="C11" s="112" t="s">
        <v>591</v>
      </c>
      <c r="D11" s="112">
        <v>4</v>
      </c>
      <c r="E11" s="112">
        <v>4.12</v>
      </c>
      <c r="F11" s="112">
        <v>11</v>
      </c>
      <c r="G11" s="112">
        <v>2</v>
      </c>
      <c r="H11" s="112" t="s">
        <v>591</v>
      </c>
      <c r="I11" s="112">
        <v>60</v>
      </c>
      <c r="J11" s="111">
        <v>10</v>
      </c>
      <c r="K11" s="112">
        <v>200</v>
      </c>
      <c r="L11" s="112">
        <v>10</v>
      </c>
      <c r="M11" s="112">
        <v>50</v>
      </c>
      <c r="N11" s="110" t="s">
        <v>25</v>
      </c>
      <c r="O11" s="110">
        <v>13298</v>
      </c>
      <c r="P11" s="1"/>
      <c r="Q11" s="123">
        <v>387</v>
      </c>
      <c r="R11" s="1">
        <v>610</v>
      </c>
      <c r="S11" s="1">
        <v>242</v>
      </c>
      <c r="T11" s="1">
        <f t="shared" si="1"/>
        <v>535.91731266149873</v>
      </c>
      <c r="V11" s="1">
        <v>13195.4</v>
      </c>
      <c r="W11" s="1">
        <v>0</v>
      </c>
      <c r="X11" s="1">
        <v>614.5</v>
      </c>
      <c r="Y11" s="1">
        <v>210.3</v>
      </c>
      <c r="Z11" s="1">
        <v>386</v>
      </c>
      <c r="AA11" s="1">
        <f t="shared" si="2"/>
        <v>116.35801464605372</v>
      </c>
    </row>
    <row r="12" spans="1:29" ht="15.75" customHeight="1">
      <c r="A12" s="110" t="s">
        <v>26</v>
      </c>
      <c r="B12" s="110" t="s">
        <v>678</v>
      </c>
      <c r="C12" s="112" t="s">
        <v>591</v>
      </c>
      <c r="D12" s="112">
        <v>4</v>
      </c>
      <c r="E12" s="112">
        <v>4.12</v>
      </c>
      <c r="F12" s="112">
        <v>11</v>
      </c>
      <c r="G12" s="112">
        <v>2</v>
      </c>
      <c r="H12" s="112" t="s">
        <v>591</v>
      </c>
      <c r="I12" s="112">
        <v>60</v>
      </c>
      <c r="J12" s="111">
        <v>10</v>
      </c>
      <c r="K12" s="112">
        <v>200</v>
      </c>
      <c r="L12" s="112">
        <v>10</v>
      </c>
      <c r="M12" s="112">
        <v>50</v>
      </c>
      <c r="N12" s="110" t="s">
        <v>26</v>
      </c>
      <c r="O12" s="110">
        <v>13138</v>
      </c>
      <c r="P12" s="1"/>
      <c r="Q12" s="123">
        <v>345</v>
      </c>
      <c r="R12" s="1">
        <v>725</v>
      </c>
      <c r="S12" s="1">
        <v>186</v>
      </c>
      <c r="T12" s="1">
        <f t="shared" si="1"/>
        <v>714.49275362318849</v>
      </c>
      <c r="V12" s="1">
        <v>13793.1</v>
      </c>
      <c r="W12" s="1">
        <v>0</v>
      </c>
      <c r="X12" s="1">
        <v>382</v>
      </c>
      <c r="Y12" s="1">
        <v>579.29999999999995</v>
      </c>
      <c r="Z12" s="1">
        <v>305.3</v>
      </c>
      <c r="AA12" s="1">
        <f t="shared" si="2"/>
        <v>515.6073298429319</v>
      </c>
    </row>
    <row r="13" spans="1:29" ht="15.75" customHeight="1">
      <c r="A13" s="110" t="s">
        <v>27</v>
      </c>
      <c r="B13" s="1" t="s">
        <v>679</v>
      </c>
      <c r="C13" s="112" t="s">
        <v>621</v>
      </c>
      <c r="D13" s="111">
        <v>4</v>
      </c>
      <c r="E13" s="127">
        <f t="shared" ref="E13:E18" si="3">D13+K13/1000</f>
        <v>4.12</v>
      </c>
      <c r="F13" s="112">
        <v>11</v>
      </c>
      <c r="G13" s="112">
        <v>1</v>
      </c>
      <c r="H13" s="112" t="s">
        <v>621</v>
      </c>
      <c r="I13" s="112">
        <v>60</v>
      </c>
      <c r="J13" s="111">
        <v>10</v>
      </c>
      <c r="K13" s="112">
        <v>120</v>
      </c>
      <c r="L13" s="112">
        <v>10</v>
      </c>
      <c r="M13" s="112">
        <v>50</v>
      </c>
      <c r="N13" s="110" t="s">
        <v>27</v>
      </c>
      <c r="O13" s="110">
        <v>12740</v>
      </c>
      <c r="P13" s="103"/>
      <c r="Q13" s="123">
        <v>353</v>
      </c>
      <c r="R13" s="103">
        <v>847</v>
      </c>
      <c r="S13" s="103">
        <v>167</v>
      </c>
      <c r="T13" s="1">
        <f t="shared" si="1"/>
        <v>815.80736543909347</v>
      </c>
      <c r="V13" s="1">
        <v>13848.7</v>
      </c>
      <c r="W13" s="1">
        <v>0</v>
      </c>
      <c r="X13" s="1">
        <v>428.6</v>
      </c>
      <c r="Y13" s="1">
        <v>411.8</v>
      </c>
      <c r="Z13" s="1">
        <v>384.7</v>
      </c>
      <c r="AA13" s="1">
        <f t="shared" si="2"/>
        <v>326.67288847410174</v>
      </c>
    </row>
    <row r="14" spans="1:29" ht="15.75" customHeight="1">
      <c r="A14" s="110" t="s">
        <v>28</v>
      </c>
      <c r="B14" s="1" t="s">
        <v>679</v>
      </c>
      <c r="C14" s="112" t="s">
        <v>621</v>
      </c>
      <c r="D14" s="111">
        <v>4</v>
      </c>
      <c r="E14" s="127">
        <f t="shared" si="3"/>
        <v>4.12</v>
      </c>
      <c r="F14" s="112">
        <v>11</v>
      </c>
      <c r="G14" s="112">
        <v>1</v>
      </c>
      <c r="H14" s="112" t="s">
        <v>621</v>
      </c>
      <c r="I14" s="112">
        <v>60</v>
      </c>
      <c r="J14" s="111">
        <v>10</v>
      </c>
      <c r="K14" s="112">
        <v>120</v>
      </c>
      <c r="L14" s="112">
        <v>10</v>
      </c>
      <c r="M14" s="112">
        <v>50</v>
      </c>
      <c r="N14" s="110" t="s">
        <v>28</v>
      </c>
      <c r="O14" s="110">
        <v>12364</v>
      </c>
      <c r="P14" s="103"/>
      <c r="Q14" s="123">
        <v>347</v>
      </c>
      <c r="R14" s="1">
        <v>1018</v>
      </c>
      <c r="S14" s="1">
        <v>111</v>
      </c>
      <c r="T14" s="1">
        <f t="shared" si="1"/>
        <v>997.46397694524489</v>
      </c>
      <c r="V14" s="1">
        <v>13412.3</v>
      </c>
      <c r="W14" s="1">
        <v>0</v>
      </c>
      <c r="X14" s="1">
        <v>386.8</v>
      </c>
      <c r="Y14" s="1">
        <v>707.7</v>
      </c>
      <c r="Z14" s="1">
        <v>306.60000000000002</v>
      </c>
      <c r="AA14" s="1">
        <f t="shared" si="2"/>
        <v>622.07342295760088</v>
      </c>
    </row>
    <row r="15" spans="1:29" ht="15.75" customHeight="1">
      <c r="A15" s="110" t="s">
        <v>29</v>
      </c>
      <c r="B15" s="1" t="s">
        <v>682</v>
      </c>
      <c r="C15" s="112" t="s">
        <v>591</v>
      </c>
      <c r="D15" s="111">
        <v>4</v>
      </c>
      <c r="E15" s="127">
        <f t="shared" si="3"/>
        <v>4.2</v>
      </c>
      <c r="F15" s="112">
        <v>11</v>
      </c>
      <c r="G15" s="112">
        <v>2</v>
      </c>
      <c r="H15" s="112" t="s">
        <v>591</v>
      </c>
      <c r="I15" s="112">
        <v>90</v>
      </c>
      <c r="J15" s="111">
        <v>10</v>
      </c>
      <c r="K15" s="112">
        <v>200</v>
      </c>
      <c r="L15" s="112">
        <v>10</v>
      </c>
      <c r="M15" s="112">
        <v>50</v>
      </c>
      <c r="N15" s="110" t="s">
        <v>29</v>
      </c>
      <c r="O15" s="110">
        <v>12712</v>
      </c>
      <c r="P15" s="1"/>
      <c r="Q15" s="123">
        <v>362</v>
      </c>
      <c r="R15" s="1">
        <v>629</v>
      </c>
      <c r="S15" s="1">
        <v>200</v>
      </c>
      <c r="T15" s="1">
        <f t="shared" si="1"/>
        <v>590.7734806629835</v>
      </c>
      <c r="V15" s="1">
        <v>13308.6</v>
      </c>
      <c r="W15" s="1">
        <v>0</v>
      </c>
      <c r="X15" s="1">
        <v>484.7</v>
      </c>
      <c r="Y15" s="1">
        <v>259.2</v>
      </c>
      <c r="Z15" s="1">
        <v>296.5</v>
      </c>
      <c r="AA15" s="1">
        <f t="shared" si="2"/>
        <v>181.81968227769752</v>
      </c>
    </row>
    <row r="16" spans="1:29" ht="15.75" customHeight="1">
      <c r="A16" s="110" t="s">
        <v>30</v>
      </c>
      <c r="B16" s="1" t="s">
        <v>682</v>
      </c>
      <c r="C16" s="112" t="s">
        <v>591</v>
      </c>
      <c r="D16" s="111">
        <v>4</v>
      </c>
      <c r="E16" s="127">
        <f t="shared" si="3"/>
        <v>4.2</v>
      </c>
      <c r="F16" s="112">
        <v>11</v>
      </c>
      <c r="G16" s="112">
        <v>2</v>
      </c>
      <c r="H16" s="112" t="s">
        <v>591</v>
      </c>
      <c r="I16" s="112">
        <v>90</v>
      </c>
      <c r="J16" s="111">
        <v>10</v>
      </c>
      <c r="K16" s="112">
        <v>200</v>
      </c>
      <c r="L16" s="112">
        <v>10</v>
      </c>
      <c r="M16" s="112">
        <v>50</v>
      </c>
      <c r="N16" s="110" t="s">
        <v>30</v>
      </c>
      <c r="O16" s="110">
        <v>13152</v>
      </c>
      <c r="P16" s="1"/>
      <c r="Q16" s="123">
        <v>357</v>
      </c>
      <c r="R16" s="1">
        <v>654</v>
      </c>
      <c r="S16" s="1">
        <v>219</v>
      </c>
      <c r="T16" s="1">
        <f t="shared" si="1"/>
        <v>622.85714285714278</v>
      </c>
      <c r="V16" s="1">
        <v>14381.2</v>
      </c>
      <c r="W16" s="1">
        <v>0</v>
      </c>
      <c r="X16" s="1">
        <v>438.1</v>
      </c>
      <c r="Y16" s="1">
        <v>218.3</v>
      </c>
      <c r="Z16" s="1">
        <v>458.3</v>
      </c>
      <c r="AA16" s="1">
        <f t="shared" si="2"/>
        <v>169.41794110933577</v>
      </c>
    </row>
    <row r="17" spans="1:27" ht="15.75" customHeight="1">
      <c r="A17" s="110" t="s">
        <v>31</v>
      </c>
      <c r="B17" s="1" t="s">
        <v>682</v>
      </c>
      <c r="C17" s="112" t="s">
        <v>621</v>
      </c>
      <c r="D17" s="111">
        <v>4</v>
      </c>
      <c r="E17" s="127">
        <f t="shared" si="3"/>
        <v>4.12</v>
      </c>
      <c r="F17" s="112">
        <v>11</v>
      </c>
      <c r="G17" s="112">
        <v>1</v>
      </c>
      <c r="H17" s="112" t="s">
        <v>621</v>
      </c>
      <c r="I17" s="112">
        <v>90</v>
      </c>
      <c r="J17" s="111">
        <v>10</v>
      </c>
      <c r="K17" s="112">
        <v>120</v>
      </c>
      <c r="L17" s="112">
        <v>10</v>
      </c>
      <c r="M17" s="112">
        <v>50</v>
      </c>
      <c r="N17" s="110" t="s">
        <v>31</v>
      </c>
      <c r="O17" s="110">
        <v>12424</v>
      </c>
      <c r="P17" s="1"/>
      <c r="Q17" s="123">
        <v>342</v>
      </c>
      <c r="R17" s="1">
        <v>978</v>
      </c>
      <c r="S17" s="1">
        <v>107</v>
      </c>
      <c r="T17" s="1">
        <f t="shared" si="1"/>
        <v>972.28070175438586</v>
      </c>
      <c r="V17" s="1">
        <v>13369.1</v>
      </c>
      <c r="W17" s="1">
        <v>0</v>
      </c>
      <c r="X17" s="1">
        <v>380.9</v>
      </c>
      <c r="Y17" s="1">
        <v>697.5</v>
      </c>
      <c r="Z17" s="1">
        <v>286.60000000000002</v>
      </c>
      <c r="AA17" s="1">
        <f t="shared" si="2"/>
        <v>622.60435809923877</v>
      </c>
    </row>
    <row r="18" spans="1:27" ht="15.75" customHeight="1">
      <c r="A18" s="110" t="s">
        <v>32</v>
      </c>
      <c r="B18" s="1" t="s">
        <v>682</v>
      </c>
      <c r="C18" s="112" t="s">
        <v>621</v>
      </c>
      <c r="D18" s="111">
        <v>4</v>
      </c>
      <c r="E18" s="127">
        <f t="shared" si="3"/>
        <v>4.12</v>
      </c>
      <c r="F18" s="112">
        <v>11</v>
      </c>
      <c r="G18" s="112">
        <v>1</v>
      </c>
      <c r="H18" s="112" t="s">
        <v>621</v>
      </c>
      <c r="I18" s="112">
        <v>90</v>
      </c>
      <c r="J18" s="111">
        <v>10</v>
      </c>
      <c r="K18" s="112">
        <v>120</v>
      </c>
      <c r="L18" s="112">
        <v>10</v>
      </c>
      <c r="M18" s="112">
        <v>50</v>
      </c>
      <c r="N18" s="110" t="s">
        <v>32</v>
      </c>
      <c r="O18" s="1">
        <v>12121</v>
      </c>
      <c r="P18" s="1"/>
      <c r="Q18" s="123">
        <v>334</v>
      </c>
      <c r="R18" s="1">
        <v>934</v>
      </c>
      <c r="S18" s="1">
        <v>121</v>
      </c>
      <c r="T18" s="1">
        <f t="shared" si="1"/>
        <v>950.77844311377248</v>
      </c>
      <c r="V18" s="1">
        <v>13191.7</v>
      </c>
      <c r="W18" s="1">
        <v>0</v>
      </c>
      <c r="X18" s="1">
        <v>441.1</v>
      </c>
      <c r="Y18" s="1">
        <v>657.4</v>
      </c>
      <c r="Z18" s="1">
        <v>322.10000000000002</v>
      </c>
      <c r="AA18" s="1">
        <f t="shared" si="2"/>
        <v>506.7240988437996</v>
      </c>
    </row>
    <row r="19" spans="1:27" ht="15.75" customHeight="1">
      <c r="A19" s="110"/>
      <c r="B19" s="1"/>
      <c r="C19" s="110"/>
      <c r="D19" s="112"/>
      <c r="E19" s="112"/>
      <c r="F19" s="112"/>
      <c r="G19" s="112"/>
      <c r="H19" s="112"/>
      <c r="I19" s="112"/>
      <c r="J19" s="112"/>
      <c r="K19" s="112"/>
      <c r="L19" s="112"/>
      <c r="M19" s="112"/>
      <c r="O19" s="1" t="s">
        <v>751</v>
      </c>
      <c r="P19" s="1"/>
      <c r="T19" s="1"/>
      <c r="V19" s="103"/>
      <c r="W19" s="1"/>
    </row>
    <row r="20" spans="1:27" ht="15.75" customHeight="1">
      <c r="A20" s="110"/>
      <c r="B20" s="1"/>
      <c r="C20" s="110"/>
      <c r="D20" s="112"/>
      <c r="E20" s="112"/>
      <c r="F20" s="112"/>
      <c r="G20" s="112"/>
      <c r="H20" s="112"/>
      <c r="I20" s="112"/>
      <c r="J20" s="112"/>
      <c r="K20" s="112"/>
      <c r="L20" s="112"/>
      <c r="M20" s="112"/>
      <c r="O20" s="110"/>
    </row>
    <row r="21" spans="1:27" ht="15.75" customHeight="1">
      <c r="A21" s="110"/>
      <c r="B21" s="1"/>
      <c r="C21" s="110"/>
      <c r="D21" s="112"/>
      <c r="E21" s="112"/>
      <c r="F21" s="112"/>
      <c r="G21" s="112"/>
      <c r="H21" s="112"/>
      <c r="I21" s="112"/>
      <c r="J21" s="112" t="s">
        <v>752</v>
      </c>
      <c r="K21" s="112">
        <f>120*8</f>
        <v>960</v>
      </c>
      <c r="L21" s="112"/>
      <c r="M21" s="112"/>
      <c r="O21" s="110"/>
    </row>
    <row r="22" spans="1:27" ht="15.75" customHeight="1">
      <c r="A22" s="110"/>
      <c r="B22" s="1"/>
      <c r="C22" s="110"/>
      <c r="D22" s="112"/>
      <c r="E22" s="112"/>
      <c r="F22" s="112"/>
      <c r="G22" s="112"/>
      <c r="H22" s="112"/>
      <c r="I22" s="112"/>
      <c r="J22" s="112" t="s">
        <v>753</v>
      </c>
      <c r="K22" s="112">
        <f>200*8</f>
        <v>1600</v>
      </c>
      <c r="L22" s="112"/>
      <c r="M22" s="112"/>
      <c r="O22" s="110"/>
      <c r="AA22" s="124"/>
    </row>
    <row r="23" spans="1:27" ht="15.75" customHeight="1">
      <c r="A23" s="110"/>
      <c r="B23" s="1"/>
      <c r="C23" s="110"/>
      <c r="D23" s="112"/>
      <c r="E23" s="112"/>
      <c r="F23" s="112"/>
      <c r="G23" s="112"/>
      <c r="H23" s="112"/>
      <c r="I23" s="112" t="s">
        <v>45</v>
      </c>
      <c r="J23" s="111"/>
      <c r="K23" s="112" t="s">
        <v>688</v>
      </c>
      <c r="L23" s="112"/>
      <c r="M23" s="112"/>
      <c r="O23" s="110"/>
      <c r="AA23" s="124"/>
    </row>
    <row r="24" spans="1:27" ht="15.75" customHeight="1">
      <c r="A24" s="110" t="s">
        <v>689</v>
      </c>
      <c r="B24" s="1"/>
      <c r="C24" s="110"/>
      <c r="D24" s="112"/>
      <c r="E24" s="112"/>
      <c r="F24" s="112"/>
      <c r="G24" s="5" t="s">
        <v>754</v>
      </c>
      <c r="H24" s="125"/>
      <c r="I24" s="125" t="s">
        <v>301</v>
      </c>
      <c r="J24" s="126">
        <v>0.5</v>
      </c>
      <c r="L24" s="112"/>
      <c r="M24" s="112"/>
      <c r="AA24" s="124">
        <v>1272.5825912094226</v>
      </c>
    </row>
    <row r="25" spans="1:27" ht="15.75" customHeight="1">
      <c r="A25" s="1" t="s">
        <v>693</v>
      </c>
      <c r="H25" s="112"/>
      <c r="I25" s="112">
        <v>550</v>
      </c>
      <c r="J25" s="127">
        <f>I25/J24-I25</f>
        <v>550</v>
      </c>
      <c r="K25" s="127">
        <f>J25+I25</f>
        <v>1100</v>
      </c>
      <c r="AA25" s="124">
        <v>1203.826247689464</v>
      </c>
    </row>
    <row r="26" spans="1:27" ht="15.75" customHeight="1">
      <c r="A26" s="1" t="s">
        <v>694</v>
      </c>
      <c r="G26" s="5"/>
      <c r="H26" s="128"/>
      <c r="I26" s="128" t="s">
        <v>99</v>
      </c>
      <c r="J26" s="126">
        <v>0.3</v>
      </c>
      <c r="AA26" s="124">
        <v>90.372605219490126</v>
      </c>
    </row>
    <row r="27" spans="1:27" ht="15.75" customHeight="1">
      <c r="A27" s="1" t="s">
        <v>755</v>
      </c>
      <c r="H27" s="112"/>
      <c r="I27" s="1">
        <v>550</v>
      </c>
      <c r="J27" s="112">
        <f>I27/J26-I27</f>
        <v>1283.3333333333335</v>
      </c>
      <c r="K27" s="127">
        <f>SUM(I27:J27)</f>
        <v>1833.3333333333335</v>
      </c>
      <c r="AA27" s="124">
        <v>616.0669031931069</v>
      </c>
    </row>
    <row r="28" spans="1:27" ht="15.75" customHeight="1">
      <c r="A28" s="1" t="s">
        <v>695</v>
      </c>
      <c r="G28" s="5"/>
      <c r="H28" s="128"/>
      <c r="I28" s="128"/>
      <c r="J28" s="126"/>
      <c r="AA28" s="124">
        <v>315.73535791757052</v>
      </c>
    </row>
    <row r="29" spans="1:27" ht="15.75" customHeight="1">
      <c r="A29" s="1" t="s">
        <v>756</v>
      </c>
      <c r="H29" s="112"/>
      <c r="I29" s="112"/>
      <c r="J29" s="127"/>
      <c r="K29" s="127"/>
      <c r="AA29" s="124">
        <v>335.67385094780576</v>
      </c>
    </row>
    <row r="30" spans="1:27" ht="15.75" customHeight="1">
      <c r="A30" s="1" t="s">
        <v>757</v>
      </c>
      <c r="G30" s="5"/>
      <c r="H30" s="128"/>
      <c r="I30" s="128"/>
      <c r="J30" s="126"/>
      <c r="AA30" s="124">
        <v>566.20441458733205</v>
      </c>
    </row>
    <row r="31" spans="1:27" ht="15.75" customHeight="1">
      <c r="A31" s="1" t="s">
        <v>697</v>
      </c>
      <c r="H31" s="112"/>
      <c r="I31" s="112"/>
      <c r="J31" s="127"/>
      <c r="K31" s="127"/>
      <c r="AA31" s="124">
        <v>448.29487900956661</v>
      </c>
    </row>
    <row r="32" spans="1:27" ht="15.75" customHeight="1">
      <c r="A32" s="1" t="s">
        <v>758</v>
      </c>
      <c r="AA32" s="124">
        <v>116.35801464605372</v>
      </c>
    </row>
    <row r="33" spans="1:27" ht="15.75" customHeight="1">
      <c r="A33" s="1" t="s">
        <v>700</v>
      </c>
      <c r="AA33" s="124">
        <v>515.6073298429319</v>
      </c>
    </row>
    <row r="34" spans="1:27" ht="15.75" customHeight="1">
      <c r="A34" s="1" t="s">
        <v>759</v>
      </c>
      <c r="AA34" s="124">
        <v>326.67288847410174</v>
      </c>
    </row>
    <row r="35" spans="1:27" ht="15.75" customHeight="1">
      <c r="A35" s="1" t="s">
        <v>760</v>
      </c>
      <c r="AA35" s="124">
        <v>622.07342295760088</v>
      </c>
    </row>
    <row r="36" spans="1:27" ht="15.75" customHeight="1">
      <c r="AA36" s="124">
        <v>181.81968227769752</v>
      </c>
    </row>
    <row r="37" spans="1:27" ht="15.75" customHeight="1">
      <c r="A37" s="1" t="s">
        <v>761</v>
      </c>
      <c r="AA37" s="124">
        <v>169.41794110933577</v>
      </c>
    </row>
    <row r="38" spans="1:27" ht="15.75" customHeight="1">
      <c r="A38" s="1" t="s">
        <v>762</v>
      </c>
      <c r="AA38" s="124">
        <v>622.60435809923877</v>
      </c>
    </row>
    <row r="39" spans="1:27" ht="12.75">
      <c r="A39" s="1" t="s">
        <v>763</v>
      </c>
      <c r="AA39" s="124">
        <v>506.7240988437996</v>
      </c>
    </row>
    <row r="40" spans="1:27" ht="12.75">
      <c r="A40" s="1" t="s">
        <v>764</v>
      </c>
    </row>
    <row r="41" spans="1:27" ht="12.75">
      <c r="A41" s="1"/>
    </row>
    <row r="42" spans="1:27" ht="12.75">
      <c r="A42" s="1" t="s">
        <v>765</v>
      </c>
    </row>
    <row r="43" spans="1:27" ht="12.75">
      <c r="A43" s="1" t="s">
        <v>766</v>
      </c>
    </row>
    <row r="44" spans="1:27" ht="12.75">
      <c r="A44" s="1" t="s">
        <v>767</v>
      </c>
    </row>
    <row r="45" spans="1:27" ht="12.75">
      <c r="A45" s="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7"/>
  <sheetViews>
    <sheetView workbookViewId="0"/>
  </sheetViews>
  <sheetFormatPr defaultColWidth="14.42578125" defaultRowHeight="15.75" customHeight="1"/>
  <cols>
    <col min="10" max="10" width="20.28515625" customWidth="1"/>
  </cols>
  <sheetData>
    <row r="1" spans="1:20" ht="15.75" customHeight="1">
      <c r="A1" s="137"/>
      <c r="B1" s="137"/>
      <c r="C1" s="84" t="s">
        <v>768</v>
      </c>
      <c r="D1" s="84" t="s">
        <v>769</v>
      </c>
      <c r="F1" s="8" t="s">
        <v>770</v>
      </c>
      <c r="G1" s="1">
        <v>-4.5028440400000001E-2</v>
      </c>
      <c r="H1" s="1" t="s">
        <v>771</v>
      </c>
      <c r="I1" s="84">
        <v>89.231531382399993</v>
      </c>
    </row>
    <row r="2" spans="1:20" ht="15.75" customHeight="1">
      <c r="A2" s="138">
        <v>42320</v>
      </c>
      <c r="B2" s="139">
        <v>0.53093749999999995</v>
      </c>
      <c r="C2" s="8">
        <v>38</v>
      </c>
      <c r="D2" s="8">
        <v>85.978999999999999</v>
      </c>
      <c r="F2" s="1" t="s">
        <v>772</v>
      </c>
    </row>
    <row r="3" spans="1:20" ht="15.75" customHeight="1">
      <c r="A3" s="138">
        <v>42320</v>
      </c>
      <c r="B3" s="139">
        <v>0.53163194444444439</v>
      </c>
      <c r="C3" s="8">
        <v>39</v>
      </c>
      <c r="D3" s="8">
        <v>86.230999999999995</v>
      </c>
      <c r="F3" s="1">
        <v>1.6</v>
      </c>
      <c r="G3" s="1" t="s">
        <v>773</v>
      </c>
    </row>
    <row r="4" spans="1:20" ht="15.75" customHeight="1">
      <c r="A4" s="138">
        <v>42320</v>
      </c>
      <c r="B4" s="139">
        <v>0.53232638888888884</v>
      </c>
      <c r="C4" s="8">
        <v>40</v>
      </c>
      <c r="D4" s="8">
        <v>86.122</v>
      </c>
      <c r="F4" s="1" t="s">
        <v>774</v>
      </c>
      <c r="J4" s="1"/>
    </row>
    <row r="5" spans="1:20" ht="15.75" customHeight="1">
      <c r="A5" s="138">
        <v>42320</v>
      </c>
      <c r="B5" s="139">
        <v>0.53302083333333339</v>
      </c>
      <c r="C5" s="8">
        <v>41</v>
      </c>
      <c r="D5" s="8">
        <v>86.62</v>
      </c>
      <c r="F5">
        <f>PI()*F3</f>
        <v>5.026548245743669</v>
      </c>
      <c r="G5" s="1" t="s">
        <v>773</v>
      </c>
      <c r="J5" s="1" t="s">
        <v>775</v>
      </c>
      <c r="O5" s="1" t="s">
        <v>776</v>
      </c>
    </row>
    <row r="6" spans="1:20" ht="15.75" customHeight="1">
      <c r="A6" s="138">
        <v>42320</v>
      </c>
      <c r="B6" s="139">
        <v>0.53371527777777783</v>
      </c>
      <c r="C6" s="8">
        <v>42</v>
      </c>
      <c r="D6" s="8">
        <v>86.224999999999994</v>
      </c>
      <c r="J6" s="1" t="s">
        <v>777</v>
      </c>
      <c r="L6" s="1"/>
      <c r="M6" s="1" t="s">
        <v>778</v>
      </c>
      <c r="O6" s="1" t="s">
        <v>779</v>
      </c>
    </row>
    <row r="7" spans="1:20" ht="15.75" customHeight="1">
      <c r="A7" s="138">
        <v>42320</v>
      </c>
      <c r="B7" s="139">
        <v>0.53440972222222227</v>
      </c>
      <c r="C7" s="8">
        <v>43</v>
      </c>
      <c r="D7" s="8">
        <v>86.929000000000002</v>
      </c>
      <c r="F7" s="1" t="s">
        <v>780</v>
      </c>
      <c r="G7" s="1">
        <v>20</v>
      </c>
      <c r="H7" s="1" t="s">
        <v>63</v>
      </c>
      <c r="J7" s="1" t="s">
        <v>781</v>
      </c>
      <c r="K7" s="1">
        <v>0.45</v>
      </c>
      <c r="L7" s="8" t="s">
        <v>782</v>
      </c>
      <c r="M7">
        <f>K9+273.15</f>
        <v>294.14999999999998</v>
      </c>
      <c r="N7" s="1" t="s">
        <v>27</v>
      </c>
      <c r="O7" s="1" t="s">
        <v>783</v>
      </c>
      <c r="Q7">
        <f>G8*K7</f>
        <v>31.5</v>
      </c>
      <c r="R7" s="1" t="s">
        <v>63</v>
      </c>
    </row>
    <row r="8" spans="1:20" ht="15.75" customHeight="1">
      <c r="A8" s="138">
        <v>42320</v>
      </c>
      <c r="B8" s="139">
        <v>0.53510416666666671</v>
      </c>
      <c r="C8" s="8">
        <v>44</v>
      </c>
      <c r="D8" s="8">
        <v>86.781000000000006</v>
      </c>
      <c r="F8" s="1" t="s">
        <v>784</v>
      </c>
      <c r="G8" s="1">
        <v>70</v>
      </c>
      <c r="H8" s="1" t="s">
        <v>63</v>
      </c>
      <c r="J8" s="1" t="s">
        <v>785</v>
      </c>
      <c r="K8" s="1">
        <v>6.8045999999999995E-2</v>
      </c>
      <c r="L8" s="8" t="s">
        <v>36</v>
      </c>
      <c r="M8">
        <f>0.08206</f>
        <v>8.2059999999999994E-2</v>
      </c>
      <c r="N8" s="1" t="s">
        <v>786</v>
      </c>
      <c r="O8" s="1" t="s">
        <v>787</v>
      </c>
    </row>
    <row r="9" spans="1:20" ht="15.75" customHeight="1">
      <c r="A9" s="138">
        <v>42320</v>
      </c>
      <c r="B9" s="139">
        <v>0.53579861111111116</v>
      </c>
      <c r="C9" s="8">
        <v>45</v>
      </c>
      <c r="D9" s="8">
        <v>86.164000000000001</v>
      </c>
      <c r="F9" s="1" t="s">
        <v>788</v>
      </c>
      <c r="G9" s="1">
        <v>40</v>
      </c>
      <c r="H9" s="1" t="s">
        <v>789</v>
      </c>
      <c r="J9" s="1" t="s">
        <v>790</v>
      </c>
      <c r="K9" s="1">
        <v>21</v>
      </c>
      <c r="L9" s="8" t="s">
        <v>32</v>
      </c>
      <c r="M9">
        <f>(5*K8)+1</f>
        <v>1.34023</v>
      </c>
      <c r="N9" s="1" t="s">
        <v>791</v>
      </c>
      <c r="O9">
        <f>G10/100</f>
        <v>-2.7017064240000003E-2</v>
      </c>
      <c r="Q9">
        <f>(O9*70)</f>
        <v>-1.8911944968000003</v>
      </c>
      <c r="R9" s="1" t="s">
        <v>792</v>
      </c>
    </row>
    <row r="10" spans="1:20" ht="15.75" customHeight="1">
      <c r="A10" s="138">
        <v>42320</v>
      </c>
      <c r="B10" s="139">
        <v>0.5364930555555556</v>
      </c>
      <c r="C10" s="8">
        <v>46</v>
      </c>
      <c r="D10" s="8">
        <v>86.061999999999998</v>
      </c>
      <c r="F10" s="1" t="s">
        <v>793</v>
      </c>
      <c r="G10" s="1">
        <f>G1*60</f>
        <v>-2.7017064240000002</v>
      </c>
      <c r="H10" s="1" t="s">
        <v>794</v>
      </c>
      <c r="L10" s="8" t="s">
        <v>400</v>
      </c>
      <c r="M10" s="1">
        <f>K7*(G8/1000)</f>
        <v>3.1500000000000007E-2</v>
      </c>
      <c r="N10" s="1" t="s">
        <v>28</v>
      </c>
      <c r="O10" s="1" t="s">
        <v>795</v>
      </c>
      <c r="R10" s="1"/>
      <c r="S10" s="1"/>
      <c r="T10" s="1"/>
    </row>
    <row r="11" spans="1:20" ht="15.75" customHeight="1">
      <c r="A11" s="138">
        <v>42320</v>
      </c>
      <c r="B11" s="139">
        <v>0.53718750000000004</v>
      </c>
      <c r="C11" s="8">
        <v>47</v>
      </c>
      <c r="D11" s="8">
        <v>86.619</v>
      </c>
      <c r="L11" s="8" t="s">
        <v>796</v>
      </c>
      <c r="M11">
        <f>(M9*M10)/(M8*M7)</f>
        <v>1.7489988482451435E-3</v>
      </c>
      <c r="N11" s="1" t="s">
        <v>797</v>
      </c>
      <c r="O11" s="1" t="s">
        <v>798</v>
      </c>
      <c r="R11" s="1"/>
      <c r="S11" s="1"/>
      <c r="T11" s="1"/>
    </row>
    <row r="12" spans="1:20" ht="15.75" customHeight="1">
      <c r="A12" s="138">
        <v>42320</v>
      </c>
      <c r="B12" s="139">
        <v>0.53788194444444448</v>
      </c>
      <c r="C12" s="8">
        <v>48</v>
      </c>
      <c r="D12" s="8">
        <v>86.084000000000003</v>
      </c>
      <c r="M12">
        <f>M11*10^3</f>
        <v>1.7489988482451435</v>
      </c>
      <c r="N12" s="1" t="s">
        <v>799</v>
      </c>
      <c r="O12" s="1" t="s">
        <v>800</v>
      </c>
      <c r="P12">
        <f>1.14</f>
        <v>1.1399999999999999</v>
      </c>
      <c r="Q12" s="1" t="s">
        <v>801</v>
      </c>
    </row>
    <row r="13" spans="1:20" ht="15.75" customHeight="1">
      <c r="A13" s="138">
        <v>42320</v>
      </c>
      <c r="B13" s="139">
        <v>0.53857638888888892</v>
      </c>
      <c r="C13" s="8">
        <v>49</v>
      </c>
      <c r="D13" s="8">
        <v>86.539000000000001</v>
      </c>
      <c r="N13" s="1"/>
      <c r="O13" s="1" t="s">
        <v>802</v>
      </c>
      <c r="P13">
        <f>1/(1*10^6)</f>
        <v>9.9999999999999995E-7</v>
      </c>
    </row>
    <row r="14" spans="1:20" ht="15.75" customHeight="1">
      <c r="A14" s="138">
        <v>42320</v>
      </c>
      <c r="B14" s="139">
        <v>0.53927083333333337</v>
      </c>
      <c r="C14" s="8">
        <v>50</v>
      </c>
      <c r="D14" s="8">
        <v>86.322999999999993</v>
      </c>
      <c r="F14" s="1" t="s">
        <v>803</v>
      </c>
      <c r="O14" s="1" t="s">
        <v>804</v>
      </c>
      <c r="P14">
        <f>1000</f>
        <v>1000</v>
      </c>
    </row>
    <row r="15" spans="1:20" ht="15.75" customHeight="1">
      <c r="A15" s="138">
        <v>42320</v>
      </c>
      <c r="B15" s="139">
        <v>0.53996527777777781</v>
      </c>
      <c r="C15" s="8">
        <v>51</v>
      </c>
      <c r="D15" s="8">
        <v>86.138000000000005</v>
      </c>
      <c r="F15" s="1" t="s">
        <v>805</v>
      </c>
      <c r="P15">
        <f>P12*P13*P14</f>
        <v>1.14E-3</v>
      </c>
      <c r="Q15" s="1" t="s">
        <v>56</v>
      </c>
    </row>
    <row r="16" spans="1:20" ht="15.75" customHeight="1">
      <c r="A16" s="138">
        <v>42320</v>
      </c>
      <c r="B16" s="139">
        <v>0.54065972222222225</v>
      </c>
      <c r="C16" s="8">
        <v>52</v>
      </c>
      <c r="D16" s="8">
        <v>86.119</v>
      </c>
      <c r="F16" s="1" t="s">
        <v>806</v>
      </c>
      <c r="P16">
        <f>Q9*P15</f>
        <v>-2.1559617263520003E-3</v>
      </c>
      <c r="Q16" s="1" t="s">
        <v>807</v>
      </c>
    </row>
    <row r="17" spans="1:17" ht="15.75" customHeight="1">
      <c r="A17" s="138">
        <v>42320</v>
      </c>
      <c r="B17" s="139">
        <v>0.54135416666666669</v>
      </c>
      <c r="C17" s="8">
        <v>53</v>
      </c>
      <c r="D17" s="8">
        <v>86.027000000000001</v>
      </c>
      <c r="F17" s="1" t="s">
        <v>808</v>
      </c>
      <c r="O17" s="1" t="s">
        <v>809</v>
      </c>
      <c r="P17" s="1">
        <v>28.01</v>
      </c>
      <c r="Q17" s="1" t="s">
        <v>810</v>
      </c>
    </row>
    <row r="18" spans="1:17" ht="15.75" customHeight="1">
      <c r="A18" s="138">
        <v>42320</v>
      </c>
      <c r="B18" s="139">
        <v>4.2048611111111113E-2</v>
      </c>
      <c r="C18" s="8">
        <v>54</v>
      </c>
      <c r="D18" s="8">
        <v>86.498999999999995</v>
      </c>
      <c r="P18">
        <f>P16/P17</f>
        <v>-7.6971143389932176E-5</v>
      </c>
      <c r="Q18" s="1" t="s">
        <v>811</v>
      </c>
    </row>
    <row r="19" spans="1:17" ht="15.75" customHeight="1">
      <c r="A19" s="138">
        <v>42320</v>
      </c>
      <c r="B19" s="139">
        <v>4.2754629629629629E-2</v>
      </c>
      <c r="C19" s="8">
        <v>55</v>
      </c>
      <c r="D19" s="8">
        <v>86.2</v>
      </c>
      <c r="P19">
        <f>P18*10^3</f>
        <v>-7.6971143389932176E-2</v>
      </c>
      <c r="Q19" s="1" t="s">
        <v>812</v>
      </c>
    </row>
    <row r="20" spans="1:17" ht="15.75" customHeight="1">
      <c r="A20" s="138">
        <v>42320</v>
      </c>
      <c r="B20" s="139">
        <v>4.3449074074074077E-2</v>
      </c>
      <c r="C20" s="8">
        <v>56</v>
      </c>
      <c r="D20" s="8">
        <v>86.17</v>
      </c>
      <c r="O20" s="1" t="s">
        <v>813</v>
      </c>
      <c r="P20">
        <f>40*(1*10^-4)</f>
        <v>4.0000000000000001E-3</v>
      </c>
      <c r="Q20" s="1" t="s">
        <v>814</v>
      </c>
    </row>
    <row r="21" spans="1:17" ht="15.75" customHeight="1">
      <c r="A21" s="138">
        <v>42320</v>
      </c>
      <c r="B21" s="139">
        <v>4.4143518518518519E-2</v>
      </c>
      <c r="C21" s="8">
        <v>57</v>
      </c>
      <c r="D21" s="8">
        <v>86.296000000000006</v>
      </c>
      <c r="P21" s="140">
        <f>P19/P20</f>
        <v>-19.242785847483045</v>
      </c>
      <c r="Q21" s="1" t="s">
        <v>815</v>
      </c>
    </row>
    <row r="22" spans="1:17" ht="15.75" customHeight="1">
      <c r="A22" s="138">
        <v>42320</v>
      </c>
      <c r="B22" s="139">
        <v>4.4837962962962961E-2</v>
      </c>
      <c r="C22" s="8">
        <v>58</v>
      </c>
      <c r="D22" s="8">
        <v>86.575999999999993</v>
      </c>
      <c r="I22" s="1" t="s">
        <v>816</v>
      </c>
      <c r="J22" s="1" t="s">
        <v>817</v>
      </c>
      <c r="L22" s="1" t="s">
        <v>818</v>
      </c>
      <c r="M22" s="1" t="s">
        <v>819</v>
      </c>
    </row>
    <row r="23" spans="1:17" ht="15.75" customHeight="1">
      <c r="A23" s="138">
        <v>42320</v>
      </c>
      <c r="B23" s="139">
        <v>4.553240740740741E-2</v>
      </c>
      <c r="C23" s="8">
        <v>59</v>
      </c>
      <c r="D23" s="8">
        <v>85.765000000000001</v>
      </c>
      <c r="I23" s="1">
        <v>1</v>
      </c>
      <c r="J23" s="1">
        <v>1</v>
      </c>
      <c r="K23" s="1" t="s">
        <v>820</v>
      </c>
      <c r="L23" s="1">
        <v>28.3</v>
      </c>
      <c r="M23" s="1"/>
    </row>
    <row r="24" spans="1:17" ht="15.75" customHeight="1">
      <c r="A24" s="138">
        <v>42320</v>
      </c>
      <c r="B24" s="139">
        <v>4.6226851851851852E-2</v>
      </c>
      <c r="C24" s="8">
        <v>60</v>
      </c>
      <c r="D24" s="8">
        <v>85.936999999999998</v>
      </c>
      <c r="I24">
        <f t="shared" ref="I24:I33" si="0">I23+1</f>
        <v>2</v>
      </c>
      <c r="J24" s="1">
        <v>2</v>
      </c>
      <c r="K24" s="1" t="s">
        <v>821</v>
      </c>
      <c r="L24" s="1">
        <v>1042.0999999999999</v>
      </c>
      <c r="M24" s="1">
        <v>34.1</v>
      </c>
    </row>
    <row r="25" spans="1:17" ht="15.75" customHeight="1">
      <c r="A25" s="138">
        <v>42320</v>
      </c>
      <c r="B25" s="139">
        <v>4.6921296296296294E-2</v>
      </c>
      <c r="C25" s="8">
        <v>61</v>
      </c>
      <c r="D25" s="8">
        <v>86.325999999999993</v>
      </c>
      <c r="I25">
        <f t="shared" si="0"/>
        <v>3</v>
      </c>
      <c r="J25" s="1">
        <v>3</v>
      </c>
      <c r="K25" s="1" t="s">
        <v>822</v>
      </c>
      <c r="L25" s="1">
        <v>206</v>
      </c>
      <c r="M25" s="1">
        <v>442.9</v>
      </c>
    </row>
    <row r="26" spans="1:17" ht="15.75" customHeight="1">
      <c r="A26" s="138">
        <v>42320</v>
      </c>
      <c r="B26" s="139">
        <v>4.7615740740740743E-2</v>
      </c>
      <c r="C26" s="8">
        <v>62</v>
      </c>
      <c r="D26" s="8">
        <v>85.944999999999993</v>
      </c>
      <c r="I26">
        <f t="shared" si="0"/>
        <v>4</v>
      </c>
      <c r="J26" s="1">
        <v>4</v>
      </c>
      <c r="K26" s="1" t="s">
        <v>823</v>
      </c>
      <c r="L26" s="1">
        <v>83.4</v>
      </c>
      <c r="M26" s="1">
        <v>883</v>
      </c>
    </row>
    <row r="27" spans="1:17" ht="15.75" customHeight="1">
      <c r="A27" s="138">
        <v>42320</v>
      </c>
      <c r="B27" s="139">
        <v>4.8310185185185185E-2</v>
      </c>
      <c r="C27" s="8">
        <v>63</v>
      </c>
      <c r="D27" s="8">
        <v>85.905000000000001</v>
      </c>
      <c r="I27">
        <f t="shared" si="0"/>
        <v>5</v>
      </c>
      <c r="J27" s="1">
        <v>1</v>
      </c>
      <c r="K27" s="1" t="s">
        <v>820</v>
      </c>
      <c r="L27" s="1">
        <v>37.299999999999997</v>
      </c>
    </row>
    <row r="28" spans="1:17" ht="15.75" customHeight="1">
      <c r="A28" s="138">
        <v>42320</v>
      </c>
      <c r="B28" s="139">
        <v>4.9004629629629627E-2</v>
      </c>
      <c r="C28" s="8">
        <v>64</v>
      </c>
      <c r="D28" s="8">
        <v>85.688999999999993</v>
      </c>
      <c r="I28">
        <f t="shared" si="0"/>
        <v>6</v>
      </c>
      <c r="J28" s="1">
        <v>5</v>
      </c>
      <c r="K28" s="141" t="s">
        <v>824</v>
      </c>
      <c r="L28" s="1">
        <v>178.1</v>
      </c>
      <c r="M28" s="1">
        <v>1361</v>
      </c>
    </row>
    <row r="29" spans="1:17" ht="15.75" customHeight="1">
      <c r="A29" s="138">
        <v>42320</v>
      </c>
      <c r="B29" s="139">
        <v>4.9699074074074076E-2</v>
      </c>
      <c r="C29" s="8">
        <v>65</v>
      </c>
      <c r="D29" s="8">
        <v>86.064999999999998</v>
      </c>
      <c r="I29">
        <f t="shared" si="0"/>
        <v>7</v>
      </c>
      <c r="J29">
        <f>J28+1</f>
        <v>6</v>
      </c>
      <c r="K29" s="141" t="s">
        <v>825</v>
      </c>
      <c r="L29" s="1">
        <v>146.30000000000001</v>
      </c>
      <c r="M29" s="1">
        <v>1351.8</v>
      </c>
    </row>
    <row r="30" spans="1:17" ht="15.75" customHeight="1">
      <c r="A30" s="138">
        <v>42320</v>
      </c>
      <c r="B30" s="139">
        <v>5.0393518518518518E-2</v>
      </c>
      <c r="C30" s="8">
        <v>66</v>
      </c>
      <c r="D30" s="8">
        <v>86.114000000000004</v>
      </c>
      <c r="I30">
        <f t="shared" si="0"/>
        <v>8</v>
      </c>
      <c r="J30" s="1">
        <v>1</v>
      </c>
      <c r="K30" s="1" t="s">
        <v>820</v>
      </c>
      <c r="L30" s="1">
        <v>44.1</v>
      </c>
    </row>
    <row r="31" spans="1:17" ht="15.75" customHeight="1">
      <c r="A31" s="138">
        <v>42320</v>
      </c>
      <c r="B31" s="139">
        <v>5.108796296296296E-2</v>
      </c>
      <c r="C31" s="8">
        <v>67</v>
      </c>
      <c r="D31" s="8">
        <v>85.923000000000002</v>
      </c>
      <c r="I31">
        <f t="shared" si="0"/>
        <v>9</v>
      </c>
      <c r="J31" s="1">
        <v>2</v>
      </c>
      <c r="K31" s="1" t="s">
        <v>821</v>
      </c>
      <c r="L31" s="1">
        <v>812.9</v>
      </c>
      <c r="M31" s="1">
        <v>49.2</v>
      </c>
    </row>
    <row r="32" spans="1:17" ht="15.75" customHeight="1">
      <c r="A32" s="138">
        <v>42320</v>
      </c>
      <c r="B32" s="139">
        <v>5.1782407407407409E-2</v>
      </c>
      <c r="C32" s="8">
        <v>68</v>
      </c>
      <c r="D32" s="8">
        <v>86.239000000000004</v>
      </c>
      <c r="I32">
        <f t="shared" si="0"/>
        <v>10</v>
      </c>
      <c r="J32" s="1">
        <v>3</v>
      </c>
      <c r="K32" s="1" t="s">
        <v>822</v>
      </c>
      <c r="L32" s="1">
        <v>247.9</v>
      </c>
      <c r="M32" s="1">
        <v>446.4</v>
      </c>
    </row>
    <row r="33" spans="1:13" ht="15.75" customHeight="1">
      <c r="A33" s="138">
        <v>42320</v>
      </c>
      <c r="B33" s="139">
        <v>5.2476851851851851E-2</v>
      </c>
      <c r="C33" s="8">
        <v>69</v>
      </c>
      <c r="D33" s="8">
        <v>85.921999999999997</v>
      </c>
      <c r="I33">
        <f t="shared" si="0"/>
        <v>11</v>
      </c>
      <c r="J33" s="1">
        <v>4</v>
      </c>
      <c r="K33" s="1" t="s">
        <v>823</v>
      </c>
      <c r="L33" s="1" t="s">
        <v>826</v>
      </c>
      <c r="M33" s="1" t="s">
        <v>826</v>
      </c>
    </row>
    <row r="34" spans="1:13" ht="15.75" customHeight="1">
      <c r="A34" s="138">
        <v>42320</v>
      </c>
      <c r="B34" s="139">
        <v>5.3171296296296293E-2</v>
      </c>
      <c r="C34" s="8">
        <v>70</v>
      </c>
      <c r="D34" s="8">
        <v>85.403999999999996</v>
      </c>
      <c r="I34" s="1">
        <v>12</v>
      </c>
      <c r="J34" s="1">
        <v>1</v>
      </c>
      <c r="K34" s="1" t="s">
        <v>820</v>
      </c>
      <c r="L34" s="1" t="s">
        <v>826</v>
      </c>
      <c r="M34" s="1" t="s">
        <v>826</v>
      </c>
    </row>
    <row r="35" spans="1:13" ht="15.75" customHeight="1">
      <c r="A35" s="138">
        <v>42320</v>
      </c>
      <c r="B35" s="139">
        <v>5.3865740740740742E-2</v>
      </c>
      <c r="C35" s="8">
        <v>71</v>
      </c>
      <c r="D35" s="8">
        <v>86.103999999999999</v>
      </c>
    </row>
    <row r="36" spans="1:13" ht="15.75" customHeight="1">
      <c r="A36" s="138">
        <v>42320</v>
      </c>
      <c r="B36" s="139">
        <v>5.4560185185185184E-2</v>
      </c>
      <c r="C36" s="8">
        <v>72</v>
      </c>
      <c r="D36" s="8">
        <v>85.878</v>
      </c>
    </row>
    <row r="37" spans="1:13" ht="15.75" customHeight="1">
      <c r="A37" s="138">
        <v>42320</v>
      </c>
      <c r="B37" s="139">
        <v>5.5254629629629633E-2</v>
      </c>
      <c r="C37" s="8">
        <v>73</v>
      </c>
      <c r="D37" s="8">
        <v>85.942999999999998</v>
      </c>
      <c r="I37" s="1" t="s">
        <v>827</v>
      </c>
    </row>
    <row r="38" spans="1:13" ht="15.75" customHeight="1">
      <c r="A38" s="138">
        <v>42320</v>
      </c>
      <c r="B38" s="139">
        <v>5.5949074074074075E-2</v>
      </c>
      <c r="C38" s="8">
        <v>74.02</v>
      </c>
      <c r="D38" s="8">
        <v>86.031999999999996</v>
      </c>
      <c r="I38" s="1" t="s">
        <v>816</v>
      </c>
      <c r="J38" s="1" t="s">
        <v>817</v>
      </c>
      <c r="L38" s="1" t="s">
        <v>818</v>
      </c>
      <c r="M38" s="1" t="s">
        <v>819</v>
      </c>
    </row>
    <row r="39" spans="1:13" ht="12.75">
      <c r="A39" s="138">
        <v>42320</v>
      </c>
      <c r="B39" s="139">
        <v>5.6631944444444443E-2</v>
      </c>
      <c r="C39" s="8">
        <v>75</v>
      </c>
      <c r="D39" s="8">
        <v>85.703999999999994</v>
      </c>
      <c r="I39" s="1">
        <v>1</v>
      </c>
      <c r="J39" s="1">
        <v>1</v>
      </c>
      <c r="K39" s="1" t="s">
        <v>820</v>
      </c>
      <c r="L39" s="1">
        <v>42.3</v>
      </c>
      <c r="M39" s="1"/>
    </row>
    <row r="40" spans="1:13" ht="12.75">
      <c r="A40" s="138">
        <v>42320</v>
      </c>
      <c r="B40" s="139">
        <v>5.7326388888888892E-2</v>
      </c>
      <c r="C40" s="8">
        <v>76</v>
      </c>
      <c r="D40" s="8">
        <v>86.144999999999996</v>
      </c>
      <c r="I40">
        <f t="shared" ref="I40:I49" si="1">I39+1</f>
        <v>2</v>
      </c>
      <c r="J40" s="1">
        <v>2</v>
      </c>
      <c r="K40" s="1" t="s">
        <v>821</v>
      </c>
      <c r="L40" s="1">
        <v>833.4</v>
      </c>
      <c r="M40" s="1">
        <v>43.8</v>
      </c>
    </row>
    <row r="41" spans="1:13" ht="12.75">
      <c r="A41" s="138">
        <v>42320</v>
      </c>
      <c r="B41" s="139">
        <v>5.8020833333333334E-2</v>
      </c>
      <c r="C41" s="8">
        <v>77</v>
      </c>
      <c r="D41" s="8">
        <v>85.715999999999994</v>
      </c>
      <c r="I41">
        <f t="shared" si="1"/>
        <v>3</v>
      </c>
      <c r="J41" s="1">
        <v>3</v>
      </c>
      <c r="K41" s="1" t="s">
        <v>822</v>
      </c>
      <c r="L41" s="1">
        <v>212.2</v>
      </c>
      <c r="M41" s="1">
        <v>374</v>
      </c>
    </row>
    <row r="42" spans="1:13" ht="12.75">
      <c r="A42" s="138">
        <v>42320</v>
      </c>
      <c r="B42" s="139">
        <v>5.8715277777777776E-2</v>
      </c>
      <c r="C42" s="8">
        <v>78</v>
      </c>
      <c r="D42" s="8">
        <v>86.043000000000006</v>
      </c>
      <c r="I42">
        <f t="shared" si="1"/>
        <v>4</v>
      </c>
      <c r="J42" s="1">
        <v>4</v>
      </c>
      <c r="K42" s="1" t="s">
        <v>823</v>
      </c>
      <c r="L42" s="1">
        <v>78.599999999999994</v>
      </c>
      <c r="M42" s="1">
        <v>657.6</v>
      </c>
    </row>
    <row r="43" spans="1:13" ht="12.75">
      <c r="A43" s="138">
        <v>42320</v>
      </c>
      <c r="B43" s="139">
        <v>5.9409722222222225E-2</v>
      </c>
      <c r="C43" s="8">
        <v>79</v>
      </c>
      <c r="D43" s="8">
        <v>85.706999999999994</v>
      </c>
      <c r="I43">
        <f t="shared" si="1"/>
        <v>5</v>
      </c>
      <c r="J43" s="1">
        <v>1</v>
      </c>
      <c r="K43" s="1" t="s">
        <v>820</v>
      </c>
      <c r="L43" s="1">
        <v>42.9</v>
      </c>
    </row>
    <row r="44" spans="1:13" ht="12.75">
      <c r="A44" s="138">
        <v>42320</v>
      </c>
      <c r="B44" s="139">
        <v>6.0104166666666667E-2</v>
      </c>
      <c r="C44" s="8">
        <v>80</v>
      </c>
      <c r="D44" s="8">
        <v>85.736999999999995</v>
      </c>
      <c r="I44">
        <f t="shared" si="1"/>
        <v>6</v>
      </c>
      <c r="J44" s="1">
        <v>5</v>
      </c>
      <c r="K44" s="141" t="s">
        <v>824</v>
      </c>
      <c r="L44" s="1">
        <v>142.80000000000001</v>
      </c>
      <c r="M44" s="1">
        <v>1012.8</v>
      </c>
    </row>
    <row r="45" spans="1:13" ht="12.75">
      <c r="A45" s="138">
        <v>42320</v>
      </c>
      <c r="B45" s="139">
        <v>6.0798611111111109E-2</v>
      </c>
      <c r="C45" s="8">
        <v>81</v>
      </c>
      <c r="D45" s="8">
        <v>85.198999999999998</v>
      </c>
      <c r="I45">
        <f t="shared" si="1"/>
        <v>7</v>
      </c>
      <c r="J45">
        <f>J44+1</f>
        <v>6</v>
      </c>
      <c r="K45" s="141" t="s">
        <v>825</v>
      </c>
      <c r="L45" s="1">
        <v>174.4</v>
      </c>
      <c r="M45" s="1">
        <v>1127.2</v>
      </c>
    </row>
    <row r="46" spans="1:13" ht="12.75">
      <c r="A46" s="138">
        <v>42320</v>
      </c>
      <c r="B46" s="139">
        <v>6.1493055555555558E-2</v>
      </c>
      <c r="C46" s="8">
        <v>82</v>
      </c>
      <c r="D46" s="8">
        <v>85.4</v>
      </c>
      <c r="I46">
        <f t="shared" si="1"/>
        <v>8</v>
      </c>
      <c r="J46" s="1">
        <v>1</v>
      </c>
      <c r="K46" s="1" t="s">
        <v>820</v>
      </c>
      <c r="L46" s="1">
        <v>50.9</v>
      </c>
    </row>
    <row r="47" spans="1:13" ht="12.75">
      <c r="A47" s="138">
        <v>42320</v>
      </c>
      <c r="B47" s="139">
        <v>6.21875E-2</v>
      </c>
      <c r="C47" s="8">
        <v>83</v>
      </c>
      <c r="D47" s="8">
        <v>85.605000000000004</v>
      </c>
      <c r="I47">
        <f t="shared" si="1"/>
        <v>9</v>
      </c>
      <c r="J47" s="1">
        <v>2</v>
      </c>
      <c r="K47" s="1" t="s">
        <v>821</v>
      </c>
      <c r="L47" s="1">
        <v>722.5</v>
      </c>
      <c r="M47" s="1">
        <v>38</v>
      </c>
    </row>
    <row r="48" spans="1:13" ht="12.75">
      <c r="A48" s="138">
        <v>42320</v>
      </c>
      <c r="B48" s="139">
        <v>6.2881944444444449E-2</v>
      </c>
      <c r="C48" s="8">
        <v>84</v>
      </c>
      <c r="D48" s="8">
        <v>85.712999999999994</v>
      </c>
      <c r="I48">
        <f t="shared" si="1"/>
        <v>10</v>
      </c>
      <c r="J48" s="1">
        <v>3</v>
      </c>
      <c r="K48" s="1" t="s">
        <v>822</v>
      </c>
      <c r="L48" s="1">
        <v>211.4</v>
      </c>
      <c r="M48" s="1">
        <v>348.9</v>
      </c>
    </row>
    <row r="49" spans="1:13" ht="12.75">
      <c r="A49" s="138">
        <v>42320</v>
      </c>
      <c r="B49" s="139">
        <v>6.3576388888888891E-2</v>
      </c>
      <c r="C49" s="8">
        <v>85</v>
      </c>
      <c r="D49" s="8">
        <v>85.302000000000007</v>
      </c>
      <c r="I49">
        <f t="shared" si="1"/>
        <v>11</v>
      </c>
      <c r="J49" s="1">
        <v>4</v>
      </c>
      <c r="K49" s="1" t="s">
        <v>823</v>
      </c>
      <c r="L49" s="1">
        <v>83.6</v>
      </c>
      <c r="M49" s="1">
        <v>619.4</v>
      </c>
    </row>
    <row r="50" spans="1:13" ht="12.75">
      <c r="A50" s="138">
        <v>42320</v>
      </c>
      <c r="B50" s="139">
        <v>6.4270833333333333E-2</v>
      </c>
      <c r="C50" s="8">
        <v>86</v>
      </c>
      <c r="D50" s="8">
        <v>85.68</v>
      </c>
      <c r="I50" s="1">
        <v>12</v>
      </c>
      <c r="J50" s="1">
        <v>1</v>
      </c>
      <c r="K50" s="1" t="s">
        <v>820</v>
      </c>
      <c r="L50" s="1">
        <v>47</v>
      </c>
      <c r="M50" s="1"/>
    </row>
    <row r="51" spans="1:13" ht="12.75">
      <c r="A51" s="138">
        <v>42320</v>
      </c>
      <c r="B51" s="139">
        <v>6.4965277777777775E-2</v>
      </c>
      <c r="C51" s="8">
        <v>87</v>
      </c>
      <c r="D51" s="8">
        <v>85.265000000000001</v>
      </c>
    </row>
    <row r="52" spans="1:13" ht="12.75">
      <c r="A52" s="138">
        <v>42320</v>
      </c>
      <c r="B52" s="139">
        <v>6.5659722222222217E-2</v>
      </c>
      <c r="C52" s="8">
        <v>88</v>
      </c>
      <c r="D52" s="8">
        <v>85.680999999999997</v>
      </c>
    </row>
    <row r="53" spans="1:13" ht="12.75">
      <c r="A53" s="138">
        <v>42320</v>
      </c>
      <c r="B53" s="139">
        <v>6.6354166666666672E-2</v>
      </c>
      <c r="C53" s="8">
        <v>89</v>
      </c>
      <c r="D53" s="8">
        <v>85.474000000000004</v>
      </c>
    </row>
    <row r="54" spans="1:13" ht="12.75">
      <c r="A54" s="138">
        <v>42320</v>
      </c>
      <c r="B54" s="139">
        <v>6.7048611111111114E-2</v>
      </c>
      <c r="C54" s="8">
        <v>90</v>
      </c>
      <c r="D54" s="8">
        <v>85.721999999999994</v>
      </c>
    </row>
    <row r="55" spans="1:13" ht="12.75">
      <c r="A55" s="138">
        <v>42320</v>
      </c>
      <c r="B55" s="139">
        <v>6.7743055555555556E-2</v>
      </c>
      <c r="C55" s="8">
        <v>91</v>
      </c>
      <c r="D55" s="8">
        <v>85.418000000000006</v>
      </c>
    </row>
    <row r="56" spans="1:13" ht="12.75">
      <c r="A56" s="138">
        <v>42320</v>
      </c>
      <c r="B56" s="139">
        <v>6.8437499999999998E-2</v>
      </c>
      <c r="C56" s="8">
        <v>92</v>
      </c>
      <c r="D56" s="8">
        <v>85.49</v>
      </c>
    </row>
    <row r="57" spans="1:13" ht="12.75">
      <c r="A57" s="138">
        <v>42320</v>
      </c>
      <c r="B57" s="139">
        <v>6.913194444444444E-2</v>
      </c>
      <c r="C57" s="8">
        <v>93</v>
      </c>
      <c r="D57" s="8">
        <v>85.284000000000006</v>
      </c>
    </row>
    <row r="58" spans="1:13" ht="12.75">
      <c r="A58" s="138">
        <v>42320</v>
      </c>
      <c r="B58" s="139">
        <v>6.9826388888888882E-2</v>
      </c>
      <c r="C58" s="8">
        <v>94</v>
      </c>
      <c r="D58" s="8">
        <v>85.393000000000001</v>
      </c>
    </row>
    <row r="59" spans="1:13" ht="12.75">
      <c r="A59" s="138">
        <v>42320</v>
      </c>
      <c r="B59" s="139">
        <v>7.0520833333333338E-2</v>
      </c>
      <c r="C59" s="8">
        <v>95</v>
      </c>
      <c r="D59" s="8">
        <v>86.135999999999996</v>
      </c>
    </row>
    <row r="60" spans="1:13" ht="12.75">
      <c r="A60" s="138">
        <v>42320</v>
      </c>
      <c r="B60" s="139">
        <v>7.121527777777778E-2</v>
      </c>
      <c r="C60" s="8">
        <v>96</v>
      </c>
      <c r="D60" s="8">
        <v>85.641000000000005</v>
      </c>
    </row>
    <row r="61" spans="1:13" ht="12.75">
      <c r="A61" s="138">
        <v>42320</v>
      </c>
      <c r="B61" s="139">
        <v>7.1909722222222222E-2</v>
      </c>
      <c r="C61" s="8">
        <v>97</v>
      </c>
      <c r="D61" s="8">
        <v>85.51</v>
      </c>
    </row>
    <row r="62" spans="1:13" ht="12.75">
      <c r="A62" s="138">
        <v>42320</v>
      </c>
      <c r="B62" s="139">
        <v>7.2604166666666664E-2</v>
      </c>
      <c r="C62" s="8">
        <v>98</v>
      </c>
      <c r="D62" s="8">
        <v>85.656999999999996</v>
      </c>
    </row>
    <row r="63" spans="1:13" ht="12.75">
      <c r="A63" s="138">
        <v>42320</v>
      </c>
      <c r="B63" s="139">
        <v>7.3298611111111106E-2</v>
      </c>
      <c r="C63" s="8">
        <v>99</v>
      </c>
      <c r="D63" s="8">
        <v>85.691000000000003</v>
      </c>
    </row>
    <row r="64" spans="1:13" ht="12.75">
      <c r="A64" s="138">
        <v>42320</v>
      </c>
      <c r="B64" s="139">
        <v>7.3993055555555562E-2</v>
      </c>
      <c r="C64" s="8">
        <v>100</v>
      </c>
      <c r="D64" s="8">
        <v>85.381</v>
      </c>
    </row>
    <row r="65" spans="1:4" ht="12.75">
      <c r="A65" s="138">
        <v>42320</v>
      </c>
      <c r="B65" s="139">
        <v>7.4687500000000004E-2</v>
      </c>
      <c r="C65" s="8">
        <v>101</v>
      </c>
      <c r="D65" s="8">
        <v>85.533000000000001</v>
      </c>
    </row>
    <row r="66" spans="1:4" ht="12.75">
      <c r="A66" s="138">
        <v>42320</v>
      </c>
      <c r="B66" s="139">
        <v>7.5381944444444446E-2</v>
      </c>
      <c r="C66" s="8">
        <v>102</v>
      </c>
      <c r="D66" s="8">
        <v>85.697000000000003</v>
      </c>
    </row>
    <row r="67" spans="1:4" ht="12.75">
      <c r="A67" s="138">
        <v>42320</v>
      </c>
      <c r="B67" s="139">
        <v>7.6076388888888888E-2</v>
      </c>
      <c r="C67" s="8">
        <v>103</v>
      </c>
      <c r="D67" s="8">
        <v>85.105000000000004</v>
      </c>
    </row>
    <row r="68" spans="1:4" ht="12.75">
      <c r="A68" s="138">
        <v>42320</v>
      </c>
      <c r="B68" s="139">
        <v>7.677083333333333E-2</v>
      </c>
      <c r="C68" s="8">
        <v>104</v>
      </c>
      <c r="D68" s="8">
        <v>84.991</v>
      </c>
    </row>
    <row r="69" spans="1:4" ht="12.75">
      <c r="A69" s="138">
        <v>42320</v>
      </c>
      <c r="B69" s="139">
        <v>7.7465277777777772E-2</v>
      </c>
      <c r="C69" s="8">
        <v>105</v>
      </c>
      <c r="D69" s="8">
        <v>84.671999999999997</v>
      </c>
    </row>
    <row r="70" spans="1:4" ht="12.75">
      <c r="A70" s="138">
        <v>42320</v>
      </c>
      <c r="B70" s="139">
        <v>7.8159722222222228E-2</v>
      </c>
      <c r="C70" s="8">
        <v>106</v>
      </c>
      <c r="D70" s="8">
        <v>85.013000000000005</v>
      </c>
    </row>
    <row r="71" spans="1:4" ht="12.75">
      <c r="A71" s="138">
        <v>42320</v>
      </c>
      <c r="B71" s="139">
        <v>7.885416666666667E-2</v>
      </c>
      <c r="C71" s="8">
        <v>107</v>
      </c>
      <c r="D71" s="8">
        <v>84.875</v>
      </c>
    </row>
    <row r="72" spans="1:4" ht="12.75">
      <c r="A72" s="138">
        <v>42320</v>
      </c>
      <c r="B72" s="139">
        <v>7.9548611111111112E-2</v>
      </c>
      <c r="C72" s="8">
        <v>108</v>
      </c>
      <c r="D72" s="8">
        <v>84.584000000000003</v>
      </c>
    </row>
    <row r="73" spans="1:4" ht="12.75">
      <c r="A73" s="138">
        <v>42320</v>
      </c>
      <c r="B73" s="139">
        <v>8.0243055555555554E-2</v>
      </c>
      <c r="C73" s="8">
        <v>109</v>
      </c>
      <c r="D73" s="8">
        <v>85.054000000000002</v>
      </c>
    </row>
    <row r="74" spans="1:4" ht="12.75">
      <c r="A74" s="138">
        <v>42320</v>
      </c>
      <c r="B74" s="139">
        <v>8.0937499999999996E-2</v>
      </c>
      <c r="C74" s="8">
        <v>110</v>
      </c>
      <c r="D74" s="8">
        <v>84.605000000000004</v>
      </c>
    </row>
    <row r="75" spans="1:4" ht="12.75">
      <c r="A75" s="138">
        <v>42320</v>
      </c>
      <c r="B75" s="139">
        <v>8.1631944444444438E-2</v>
      </c>
      <c r="C75" s="8">
        <v>111</v>
      </c>
      <c r="D75" s="8">
        <v>84.572999999999993</v>
      </c>
    </row>
    <row r="76" spans="1:4" ht="12.75">
      <c r="A76" s="138">
        <v>42320</v>
      </c>
      <c r="B76" s="139">
        <v>8.2326388888888893E-2</v>
      </c>
      <c r="C76" s="8">
        <v>112</v>
      </c>
      <c r="D76" s="8">
        <v>84.161000000000001</v>
      </c>
    </row>
    <row r="77" spans="1:4" ht="12.75">
      <c r="A77" s="138">
        <v>42320</v>
      </c>
      <c r="B77" s="139">
        <v>8.3020833333333335E-2</v>
      </c>
      <c r="C77" s="8">
        <v>113</v>
      </c>
      <c r="D77" s="8">
        <v>84.272000000000006</v>
      </c>
    </row>
    <row r="78" spans="1:4" ht="12.75">
      <c r="A78" s="138">
        <v>42320</v>
      </c>
      <c r="B78" s="139">
        <v>8.3715277777777777E-2</v>
      </c>
      <c r="C78" s="8">
        <v>114</v>
      </c>
      <c r="D78" s="8">
        <v>84.664000000000001</v>
      </c>
    </row>
    <row r="79" spans="1:4" ht="12.75">
      <c r="A79" s="138">
        <v>42320</v>
      </c>
      <c r="B79" s="139">
        <v>8.4409722222222219E-2</v>
      </c>
      <c r="C79" s="8">
        <v>115</v>
      </c>
      <c r="D79" s="8">
        <v>84.46</v>
      </c>
    </row>
    <row r="80" spans="1:4" ht="12.75">
      <c r="A80" s="138">
        <v>42320</v>
      </c>
      <c r="B80" s="139">
        <v>8.5104166666666661E-2</v>
      </c>
      <c r="C80" s="8">
        <v>116</v>
      </c>
      <c r="D80" s="8">
        <v>84.578000000000003</v>
      </c>
    </row>
    <row r="81" spans="1:4" ht="12.75">
      <c r="A81" s="138">
        <v>42320</v>
      </c>
      <c r="B81" s="139">
        <v>8.5798611111111117E-2</v>
      </c>
      <c r="C81" s="8">
        <v>117</v>
      </c>
      <c r="D81" s="8">
        <v>84.748999999999995</v>
      </c>
    </row>
    <row r="82" spans="1:4" ht="12.75">
      <c r="A82" s="138">
        <v>42320</v>
      </c>
      <c r="B82" s="139">
        <v>8.6493055555555559E-2</v>
      </c>
      <c r="C82" s="8">
        <v>118</v>
      </c>
      <c r="D82" s="8">
        <v>84.834000000000003</v>
      </c>
    </row>
    <row r="83" spans="1:4" ht="12.75">
      <c r="A83" s="138">
        <v>42320</v>
      </c>
      <c r="B83" s="139">
        <v>8.7187500000000001E-2</v>
      </c>
      <c r="C83" s="8">
        <v>119</v>
      </c>
      <c r="D83" s="8">
        <v>84.668999999999997</v>
      </c>
    </row>
    <row r="84" spans="1:4" ht="12.75">
      <c r="A84" s="138">
        <v>42320</v>
      </c>
      <c r="B84" s="139">
        <v>8.7881944444444443E-2</v>
      </c>
      <c r="C84" s="8">
        <v>120</v>
      </c>
      <c r="D84" s="8">
        <v>84.677000000000007</v>
      </c>
    </row>
    <row r="85" spans="1:4" ht="12.75">
      <c r="A85" s="138">
        <v>42320</v>
      </c>
      <c r="B85" s="139">
        <v>8.8576388888888885E-2</v>
      </c>
      <c r="C85" s="8">
        <v>121</v>
      </c>
      <c r="D85" s="8">
        <v>84.587000000000003</v>
      </c>
    </row>
    <row r="86" spans="1:4" ht="12.75">
      <c r="A86" s="138">
        <v>42320</v>
      </c>
      <c r="B86" s="139">
        <v>8.9270833333333327E-2</v>
      </c>
      <c r="C86" s="8">
        <v>122</v>
      </c>
      <c r="D86" s="8">
        <v>84.771000000000001</v>
      </c>
    </row>
    <row r="87" spans="1:4" ht="12.75">
      <c r="A87" s="138">
        <v>42320</v>
      </c>
      <c r="B87" s="139">
        <v>8.9965277777777783E-2</v>
      </c>
      <c r="C87" s="8">
        <v>123</v>
      </c>
      <c r="D87" s="8">
        <v>84.245000000000005</v>
      </c>
    </row>
    <row r="88" spans="1:4" ht="12.75">
      <c r="A88" s="138">
        <v>42320</v>
      </c>
      <c r="B88" s="139">
        <v>9.0659722222222225E-2</v>
      </c>
      <c r="C88" s="8">
        <v>124</v>
      </c>
      <c r="D88" s="8">
        <v>84.388000000000005</v>
      </c>
    </row>
    <row r="89" spans="1:4" ht="12.75">
      <c r="A89" s="138">
        <v>42320</v>
      </c>
      <c r="B89" s="139">
        <v>9.1354166666666667E-2</v>
      </c>
      <c r="C89" s="8">
        <v>125</v>
      </c>
      <c r="D89" s="8">
        <v>84.146000000000001</v>
      </c>
    </row>
    <row r="90" spans="1:4" ht="12.75">
      <c r="A90" s="138">
        <v>42320</v>
      </c>
      <c r="B90" s="139">
        <v>9.2048611111111109E-2</v>
      </c>
      <c r="C90" s="8">
        <v>126</v>
      </c>
      <c r="D90" s="8">
        <v>84.245000000000005</v>
      </c>
    </row>
    <row r="91" spans="1:4" ht="12.75">
      <c r="A91" s="138">
        <v>42320</v>
      </c>
      <c r="B91" s="139">
        <v>9.2743055555555551E-2</v>
      </c>
      <c r="C91" s="8">
        <v>127</v>
      </c>
      <c r="D91" s="8">
        <v>84.066999999999993</v>
      </c>
    </row>
    <row r="92" spans="1:4" ht="12.75">
      <c r="A92" s="138">
        <v>42320</v>
      </c>
      <c r="B92" s="139">
        <v>9.3449074074074073E-2</v>
      </c>
      <c r="C92" s="8">
        <v>128</v>
      </c>
      <c r="D92" s="8">
        <v>83.950999999999993</v>
      </c>
    </row>
    <row r="93" spans="1:4" ht="12.75">
      <c r="A93" s="138">
        <v>42320</v>
      </c>
      <c r="B93" s="139">
        <v>9.4143518518518515E-2</v>
      </c>
      <c r="C93" s="8">
        <v>129</v>
      </c>
      <c r="D93" s="8">
        <v>83.78</v>
      </c>
    </row>
    <row r="94" spans="1:4" ht="12.75">
      <c r="A94" s="138">
        <v>42320</v>
      </c>
      <c r="B94" s="139">
        <v>9.4837962962962957E-2</v>
      </c>
      <c r="C94" s="8">
        <v>130</v>
      </c>
      <c r="D94" s="8">
        <v>83.957999999999998</v>
      </c>
    </row>
    <row r="95" spans="1:4" ht="12.75">
      <c r="A95" s="138">
        <v>42320</v>
      </c>
      <c r="B95" s="139">
        <v>9.5532407407407413E-2</v>
      </c>
      <c r="C95" s="8">
        <v>131</v>
      </c>
      <c r="D95" s="8">
        <v>83.528999999999996</v>
      </c>
    </row>
    <row r="96" spans="1:4" ht="12.75">
      <c r="A96" s="138">
        <v>42320</v>
      </c>
      <c r="B96" s="139">
        <v>9.6226851851851855E-2</v>
      </c>
      <c r="C96" s="8">
        <v>132</v>
      </c>
      <c r="D96" s="8">
        <v>83.644999999999996</v>
      </c>
    </row>
    <row r="97" spans="1:4" ht="12.75">
      <c r="A97" s="138">
        <v>42320</v>
      </c>
      <c r="B97" s="139">
        <v>9.6921296296296297E-2</v>
      </c>
      <c r="C97" s="8">
        <v>133</v>
      </c>
      <c r="D97" s="8">
        <v>83.677999999999997</v>
      </c>
    </row>
    <row r="98" spans="1:4" ht="12.75">
      <c r="A98" s="138">
        <v>42320</v>
      </c>
      <c r="B98" s="139">
        <v>9.7615740740740739E-2</v>
      </c>
      <c r="C98" s="8">
        <v>134</v>
      </c>
      <c r="D98" s="8">
        <v>83.66</v>
      </c>
    </row>
    <row r="99" spans="1:4" ht="12.75">
      <c r="A99" s="138">
        <v>42320</v>
      </c>
      <c r="B99" s="139">
        <v>9.8310185185185181E-2</v>
      </c>
      <c r="C99" s="8">
        <v>135</v>
      </c>
      <c r="D99" s="8">
        <v>83.707999999999998</v>
      </c>
    </row>
    <row r="100" spans="1:4" ht="12.75">
      <c r="A100" s="138">
        <v>42320</v>
      </c>
      <c r="B100" s="139">
        <v>9.9004629629629623E-2</v>
      </c>
      <c r="C100" s="8">
        <v>136</v>
      </c>
      <c r="D100" s="8">
        <v>83.646000000000001</v>
      </c>
    </row>
    <row r="101" spans="1:4" ht="12.75">
      <c r="A101" s="138">
        <v>42320</v>
      </c>
      <c r="B101" s="139">
        <v>9.9699074074074079E-2</v>
      </c>
      <c r="C101" s="8">
        <v>137</v>
      </c>
      <c r="D101" s="8">
        <v>83.138000000000005</v>
      </c>
    </row>
    <row r="102" spans="1:4" ht="12.75">
      <c r="A102" s="138">
        <v>42320</v>
      </c>
      <c r="B102" s="139">
        <v>0.10039351851851852</v>
      </c>
      <c r="C102" s="8">
        <v>138</v>
      </c>
      <c r="D102" s="8">
        <v>83.769000000000005</v>
      </c>
    </row>
    <row r="103" spans="1:4" ht="12.75">
      <c r="A103" s="138">
        <v>42320</v>
      </c>
      <c r="B103" s="139">
        <v>0.10108796296296296</v>
      </c>
      <c r="C103" s="8">
        <v>139</v>
      </c>
      <c r="D103" s="8">
        <v>83.721999999999994</v>
      </c>
    </row>
    <row r="104" spans="1:4" ht="12.75">
      <c r="A104" s="138">
        <v>42320</v>
      </c>
      <c r="B104" s="139">
        <v>0.1017824074074074</v>
      </c>
      <c r="C104" s="8">
        <v>140</v>
      </c>
      <c r="D104" s="8">
        <v>83.311999999999998</v>
      </c>
    </row>
    <row r="105" spans="1:4" ht="12.75">
      <c r="A105" s="138">
        <v>42320</v>
      </c>
      <c r="B105" s="139">
        <v>0.10247685185185185</v>
      </c>
      <c r="C105" s="8">
        <v>141</v>
      </c>
      <c r="D105" s="8">
        <v>83.647999999999996</v>
      </c>
    </row>
    <row r="106" spans="1:4" ht="12.75">
      <c r="A106" s="138">
        <v>42320</v>
      </c>
      <c r="B106" s="139">
        <v>0.1031712962962963</v>
      </c>
      <c r="C106" s="8">
        <v>142</v>
      </c>
      <c r="D106" s="8">
        <v>83.414000000000001</v>
      </c>
    </row>
    <row r="107" spans="1:4" ht="12.75">
      <c r="A107" s="138">
        <v>42320</v>
      </c>
      <c r="B107" s="139">
        <v>0.10386574074074074</v>
      </c>
      <c r="C107" s="8">
        <v>143</v>
      </c>
      <c r="D107" s="8">
        <v>83.608999999999995</v>
      </c>
    </row>
    <row r="108" spans="1:4" ht="12.75">
      <c r="A108" s="138">
        <v>42320</v>
      </c>
      <c r="B108" s="139">
        <v>0.10456018518518519</v>
      </c>
      <c r="C108" s="8">
        <v>144</v>
      </c>
      <c r="D108" s="8">
        <v>83.406000000000006</v>
      </c>
    </row>
    <row r="109" spans="1:4" ht="12.75">
      <c r="A109" s="138">
        <v>42320</v>
      </c>
      <c r="B109" s="139">
        <v>0.10525462962962963</v>
      </c>
      <c r="C109" s="8">
        <v>145</v>
      </c>
      <c r="D109" s="8">
        <v>83.22</v>
      </c>
    </row>
    <row r="110" spans="1:4" ht="12.75">
      <c r="A110" s="138">
        <v>42320</v>
      </c>
      <c r="B110" s="139">
        <v>0.10594907407407407</v>
      </c>
      <c r="C110" s="8">
        <v>146</v>
      </c>
      <c r="D110" s="8">
        <v>83.203999999999994</v>
      </c>
    </row>
    <row r="111" spans="1:4" ht="12.75">
      <c r="A111" s="138">
        <v>42320</v>
      </c>
      <c r="B111" s="139">
        <v>0.10664351851851851</v>
      </c>
      <c r="C111" s="8">
        <v>147</v>
      </c>
      <c r="D111" s="8">
        <v>83.272999999999996</v>
      </c>
    </row>
    <row r="112" spans="1:4" ht="12.75">
      <c r="A112" s="138">
        <v>42320</v>
      </c>
      <c r="B112" s="139">
        <v>0.10733796296296297</v>
      </c>
      <c r="C112" s="8">
        <v>148.02000000000001</v>
      </c>
      <c r="D112" s="8">
        <v>83.525999999999996</v>
      </c>
    </row>
    <row r="113" spans="1:4" ht="12.75">
      <c r="A113" s="138">
        <v>42320</v>
      </c>
      <c r="B113" s="139">
        <v>0.10802083333333333</v>
      </c>
      <c r="C113" s="8">
        <v>149</v>
      </c>
      <c r="D113" s="8">
        <v>82.914000000000001</v>
      </c>
    </row>
    <row r="114" spans="1:4" ht="12.75">
      <c r="A114" s="138">
        <v>42320</v>
      </c>
      <c r="B114" s="139">
        <v>0.10871527777777777</v>
      </c>
      <c r="C114" s="8">
        <v>150</v>
      </c>
      <c r="D114" s="8">
        <v>83.356999999999999</v>
      </c>
    </row>
    <row r="115" spans="1:4" ht="12.75">
      <c r="A115" s="138">
        <v>42320</v>
      </c>
      <c r="B115" s="139">
        <v>0.10940972222222223</v>
      </c>
      <c r="C115" s="8">
        <v>151</v>
      </c>
      <c r="D115" s="8">
        <v>82.656999999999996</v>
      </c>
    </row>
    <row r="116" spans="1:4" ht="12.75">
      <c r="A116" s="138">
        <v>42320</v>
      </c>
      <c r="B116" s="139">
        <v>0.11010416666666667</v>
      </c>
      <c r="C116" s="8">
        <v>152</v>
      </c>
      <c r="D116" s="8">
        <v>82.427999999999997</v>
      </c>
    </row>
    <row r="117" spans="1:4" ht="12.75">
      <c r="A117" s="138">
        <v>42320</v>
      </c>
      <c r="B117" s="139">
        <v>0.11079861111111111</v>
      </c>
      <c r="C117" s="8">
        <v>153</v>
      </c>
      <c r="D117" s="8">
        <v>82.259</v>
      </c>
    </row>
    <row r="118" spans="1:4" ht="12.75">
      <c r="A118" s="138">
        <v>42320</v>
      </c>
      <c r="B118" s="139">
        <v>0.11149305555555555</v>
      </c>
      <c r="C118" s="8">
        <v>154</v>
      </c>
      <c r="D118" s="8">
        <v>81.744</v>
      </c>
    </row>
    <row r="119" spans="1:4" ht="12.75">
      <c r="A119" s="138">
        <v>42320</v>
      </c>
      <c r="B119" s="139">
        <v>0.1121875</v>
      </c>
      <c r="C119" s="8">
        <v>155</v>
      </c>
      <c r="D119" s="8">
        <v>81.850999999999999</v>
      </c>
    </row>
    <row r="120" spans="1:4" ht="12.75">
      <c r="A120" s="138">
        <v>42320</v>
      </c>
      <c r="B120" s="139">
        <v>0.11288194444444444</v>
      </c>
      <c r="C120" s="8">
        <v>156</v>
      </c>
      <c r="D120" s="8">
        <v>81.893000000000001</v>
      </c>
    </row>
    <row r="121" spans="1:4" ht="12.75">
      <c r="A121" s="138">
        <v>42320</v>
      </c>
      <c r="B121" s="139">
        <v>0.11357638888888889</v>
      </c>
      <c r="C121" s="8">
        <v>157</v>
      </c>
      <c r="D121" s="8">
        <v>82.022000000000006</v>
      </c>
    </row>
    <row r="122" spans="1:4" ht="12.75">
      <c r="A122" s="138">
        <v>42320</v>
      </c>
      <c r="B122" s="139">
        <v>0.11427083333333334</v>
      </c>
      <c r="C122" s="8">
        <v>158</v>
      </c>
      <c r="D122" s="8">
        <v>81.486000000000004</v>
      </c>
    </row>
    <row r="123" spans="1:4" ht="12.75">
      <c r="A123" s="138">
        <v>42320</v>
      </c>
      <c r="B123" s="139">
        <v>0.11496527777777778</v>
      </c>
      <c r="C123" s="8">
        <v>159</v>
      </c>
      <c r="D123" s="8">
        <v>81.665000000000006</v>
      </c>
    </row>
    <row r="124" spans="1:4" ht="12.75">
      <c r="A124" s="138">
        <v>42320</v>
      </c>
      <c r="B124" s="139">
        <v>0.11565972222222222</v>
      </c>
      <c r="C124" s="8">
        <v>160</v>
      </c>
      <c r="D124" s="8">
        <v>81.366</v>
      </c>
    </row>
    <row r="125" spans="1:4" ht="12.75">
      <c r="A125" s="138">
        <v>42320</v>
      </c>
      <c r="B125" s="139">
        <v>0.11635416666666666</v>
      </c>
      <c r="C125" s="8">
        <v>161</v>
      </c>
      <c r="D125" s="8">
        <v>81.314999999999998</v>
      </c>
    </row>
    <row r="126" spans="1:4" ht="12.75">
      <c r="A126" s="138">
        <v>42320</v>
      </c>
      <c r="B126" s="139">
        <v>0.11704861111111112</v>
      </c>
      <c r="C126" s="8">
        <v>162</v>
      </c>
      <c r="D126" s="8">
        <v>81.563000000000002</v>
      </c>
    </row>
    <row r="127" spans="1:4" ht="12.75">
      <c r="A127" s="138">
        <v>42320</v>
      </c>
      <c r="B127" s="139">
        <v>0.11774305555555556</v>
      </c>
      <c r="C127" s="8">
        <v>163</v>
      </c>
      <c r="D127" s="8">
        <v>81.807000000000002</v>
      </c>
    </row>
    <row r="128" spans="1:4" ht="12.75">
      <c r="A128" s="138">
        <v>42320</v>
      </c>
      <c r="B128" s="139">
        <v>0.1184375</v>
      </c>
      <c r="C128" s="8">
        <v>164</v>
      </c>
      <c r="D128" s="8">
        <v>81.674000000000007</v>
      </c>
    </row>
    <row r="129" spans="1:4" ht="12.75">
      <c r="A129" s="138">
        <v>42320</v>
      </c>
      <c r="B129" s="139">
        <v>0.11913194444444444</v>
      </c>
      <c r="C129" s="8">
        <v>165</v>
      </c>
      <c r="D129" s="8">
        <v>81.459999999999994</v>
      </c>
    </row>
    <row r="130" spans="1:4" ht="12.75">
      <c r="A130" s="138">
        <v>42320</v>
      </c>
      <c r="B130" s="139">
        <v>0.11982638888888889</v>
      </c>
      <c r="C130" s="8">
        <v>166</v>
      </c>
      <c r="D130" s="8">
        <v>81.787000000000006</v>
      </c>
    </row>
    <row r="131" spans="1:4" ht="12.75">
      <c r="A131" s="138">
        <v>42320</v>
      </c>
      <c r="B131" s="139">
        <v>0.12052083333333333</v>
      </c>
      <c r="C131" s="8">
        <v>167</v>
      </c>
      <c r="D131" s="8">
        <v>81.516000000000005</v>
      </c>
    </row>
    <row r="132" spans="1:4" ht="12.75">
      <c r="A132" s="138">
        <v>42320</v>
      </c>
      <c r="B132" s="139">
        <v>0.12121527777777778</v>
      </c>
      <c r="C132" s="8">
        <v>168</v>
      </c>
      <c r="D132" s="8">
        <v>81.304000000000002</v>
      </c>
    </row>
    <row r="133" spans="1:4" ht="12.75">
      <c r="A133" s="138">
        <v>42320</v>
      </c>
      <c r="B133" s="139">
        <v>0.12190972222222222</v>
      </c>
      <c r="C133" s="8">
        <v>169</v>
      </c>
      <c r="D133" s="8">
        <v>81.247</v>
      </c>
    </row>
    <row r="134" spans="1:4" ht="12.75">
      <c r="A134" s="138">
        <v>42320</v>
      </c>
      <c r="B134" s="139">
        <v>0.12260416666666667</v>
      </c>
      <c r="C134" s="8">
        <v>170</v>
      </c>
      <c r="D134" s="8">
        <v>81.137</v>
      </c>
    </row>
    <row r="135" spans="1:4" ht="12.75">
      <c r="A135" s="138">
        <v>42320</v>
      </c>
      <c r="B135" s="139">
        <v>0.12329861111111111</v>
      </c>
      <c r="C135" s="8">
        <v>171</v>
      </c>
      <c r="D135" s="8">
        <v>81.366</v>
      </c>
    </row>
    <row r="136" spans="1:4" ht="12.75">
      <c r="A136" s="138">
        <v>42320</v>
      </c>
      <c r="B136" s="139">
        <v>0.12399305555555555</v>
      </c>
      <c r="C136" s="8">
        <v>172</v>
      </c>
      <c r="D136" s="8">
        <v>81.573999999999998</v>
      </c>
    </row>
    <row r="137" spans="1:4" ht="12.75">
      <c r="A137" s="138">
        <v>42320</v>
      </c>
      <c r="B137" s="139">
        <v>0.12468750000000001</v>
      </c>
      <c r="C137" s="8">
        <v>173</v>
      </c>
      <c r="D137" s="8">
        <v>81.733000000000004</v>
      </c>
    </row>
    <row r="138" spans="1:4" ht="12.75">
      <c r="A138" s="138">
        <v>42320</v>
      </c>
      <c r="B138" s="139">
        <v>0.12538194444444445</v>
      </c>
      <c r="C138" s="8">
        <v>174</v>
      </c>
      <c r="D138" s="8">
        <v>81.192999999999998</v>
      </c>
    </row>
    <row r="139" spans="1:4" ht="12.75">
      <c r="A139" s="138">
        <v>42320</v>
      </c>
      <c r="B139" s="139">
        <v>0.12607638888888889</v>
      </c>
      <c r="C139" s="8">
        <v>175</v>
      </c>
      <c r="D139" s="8">
        <v>81.182000000000002</v>
      </c>
    </row>
    <row r="140" spans="1:4" ht="12.75">
      <c r="A140" s="138">
        <v>42320</v>
      </c>
      <c r="B140" s="139">
        <v>0.12677083333333333</v>
      </c>
      <c r="C140" s="8">
        <v>176</v>
      </c>
      <c r="D140" s="8">
        <v>81.331999999999994</v>
      </c>
    </row>
    <row r="141" spans="1:4" ht="12.75">
      <c r="A141" s="138">
        <v>42320</v>
      </c>
      <c r="B141" s="139">
        <v>0.12746527777777777</v>
      </c>
      <c r="C141" s="8">
        <v>177</v>
      </c>
      <c r="D141" s="8">
        <v>80.912000000000006</v>
      </c>
    </row>
    <row r="142" spans="1:4" ht="12.75">
      <c r="A142" s="138">
        <v>42320</v>
      </c>
      <c r="B142" s="139">
        <v>0.12815972222222222</v>
      </c>
      <c r="C142" s="8">
        <v>178</v>
      </c>
      <c r="D142" s="8">
        <v>81.122</v>
      </c>
    </row>
    <row r="143" spans="1:4" ht="12.75">
      <c r="A143" s="138">
        <v>42320</v>
      </c>
      <c r="B143" s="139">
        <v>0.12885416666666666</v>
      </c>
      <c r="C143" s="8">
        <v>179</v>
      </c>
      <c r="D143" s="8">
        <v>81.346999999999994</v>
      </c>
    </row>
    <row r="144" spans="1:4" ht="12.75">
      <c r="A144" s="138">
        <v>42320</v>
      </c>
      <c r="B144" s="139">
        <v>0.1295486111111111</v>
      </c>
      <c r="C144" s="8">
        <v>180</v>
      </c>
      <c r="D144" s="8">
        <v>81.019000000000005</v>
      </c>
    </row>
    <row r="145" spans="1:4" ht="12.75">
      <c r="A145" s="138">
        <v>42320</v>
      </c>
      <c r="B145" s="139">
        <v>0.13024305555555554</v>
      </c>
      <c r="C145" s="8">
        <v>181</v>
      </c>
      <c r="D145" s="8">
        <v>81.106999999999999</v>
      </c>
    </row>
    <row r="146" spans="1:4" ht="12.75">
      <c r="A146" s="138">
        <v>42320</v>
      </c>
      <c r="B146" s="139">
        <v>0.13093750000000001</v>
      </c>
      <c r="C146" s="8">
        <v>182</v>
      </c>
      <c r="D146" s="8">
        <v>81.271000000000001</v>
      </c>
    </row>
    <row r="147" spans="1:4" ht="12.75">
      <c r="A147" s="138">
        <v>42320</v>
      </c>
      <c r="B147" s="139">
        <v>0.13163194444444445</v>
      </c>
      <c r="C147" s="8">
        <v>183</v>
      </c>
      <c r="D147" s="8">
        <v>81.161000000000001</v>
      </c>
    </row>
    <row r="148" spans="1:4" ht="12.75">
      <c r="A148" s="138">
        <v>42320</v>
      </c>
      <c r="B148" s="139">
        <v>0.1323263888888889</v>
      </c>
      <c r="C148" s="8">
        <v>184</v>
      </c>
      <c r="D148" s="8">
        <v>80.847999999999999</v>
      </c>
    </row>
    <row r="149" spans="1:4" ht="12.75">
      <c r="A149" s="138">
        <v>42320</v>
      </c>
      <c r="B149" s="139">
        <v>0.13302083333333334</v>
      </c>
      <c r="C149" s="8">
        <v>185</v>
      </c>
      <c r="D149" s="8">
        <v>80.558000000000007</v>
      </c>
    </row>
    <row r="150" spans="1:4" ht="12.75">
      <c r="A150" s="138">
        <v>42320</v>
      </c>
      <c r="B150" s="139">
        <v>0.13371527777777778</v>
      </c>
      <c r="C150" s="8">
        <v>186</v>
      </c>
      <c r="D150" s="8">
        <v>80.813000000000002</v>
      </c>
    </row>
    <row r="151" spans="1:4" ht="12.75">
      <c r="A151" s="138">
        <v>42320</v>
      </c>
      <c r="B151" s="139">
        <v>0.13440972222222222</v>
      </c>
      <c r="C151" s="8">
        <v>187</v>
      </c>
      <c r="D151" s="8">
        <v>81.043999999999997</v>
      </c>
    </row>
    <row r="152" spans="1:4" ht="12.75">
      <c r="A152" s="138">
        <v>42320</v>
      </c>
      <c r="B152" s="139">
        <v>0.13510416666666666</v>
      </c>
      <c r="C152" s="8">
        <v>188</v>
      </c>
      <c r="D152" s="8">
        <v>80.433000000000007</v>
      </c>
    </row>
    <row r="153" spans="1:4" ht="12.75">
      <c r="A153" s="138">
        <v>42320</v>
      </c>
      <c r="B153" s="139">
        <v>0.13579861111111111</v>
      </c>
      <c r="C153" s="8">
        <v>189</v>
      </c>
      <c r="D153" s="8">
        <v>80.713999999999999</v>
      </c>
    </row>
    <row r="154" spans="1:4" ht="12.75">
      <c r="A154" s="138">
        <v>42320</v>
      </c>
      <c r="B154" s="139">
        <v>0.13649305555555555</v>
      </c>
      <c r="C154" s="8">
        <v>190</v>
      </c>
      <c r="D154" s="8">
        <v>80.73</v>
      </c>
    </row>
    <row r="155" spans="1:4" ht="12.75">
      <c r="A155" s="138">
        <v>42320</v>
      </c>
      <c r="B155" s="139">
        <v>0.13718749999999999</v>
      </c>
      <c r="C155" s="8">
        <v>191</v>
      </c>
      <c r="D155" s="8">
        <v>80.798000000000002</v>
      </c>
    </row>
    <row r="156" spans="1:4" ht="12.75">
      <c r="A156" s="138">
        <v>42320</v>
      </c>
      <c r="B156" s="139">
        <v>0.13788194444444443</v>
      </c>
      <c r="C156" s="8">
        <v>192</v>
      </c>
      <c r="D156" s="8">
        <v>80.417000000000002</v>
      </c>
    </row>
    <row r="157" spans="1:4" ht="12.75">
      <c r="A157" s="138">
        <v>42320</v>
      </c>
      <c r="B157" s="139">
        <v>0.1385763888888889</v>
      </c>
      <c r="C157" s="8">
        <v>193</v>
      </c>
      <c r="D157" s="8">
        <v>80.658000000000001</v>
      </c>
    </row>
    <row r="158" spans="1:4" ht="12.75">
      <c r="A158" s="138">
        <v>42320</v>
      </c>
      <c r="B158" s="139">
        <v>0.13927083333333334</v>
      </c>
      <c r="C158" s="8">
        <v>194</v>
      </c>
      <c r="D158" s="8">
        <v>80.62</v>
      </c>
    </row>
    <row r="159" spans="1:4" ht="12.75">
      <c r="A159" s="138">
        <v>42320</v>
      </c>
      <c r="B159" s="139">
        <v>0.13996527777777779</v>
      </c>
      <c r="C159" s="8">
        <v>195</v>
      </c>
      <c r="D159" s="8">
        <v>80.671000000000006</v>
      </c>
    </row>
    <row r="160" spans="1:4" ht="12.75">
      <c r="A160" s="138">
        <v>42320</v>
      </c>
      <c r="B160" s="139">
        <v>0.14065972222222223</v>
      </c>
      <c r="C160" s="8">
        <v>196</v>
      </c>
      <c r="D160" s="8">
        <v>80.388999999999996</v>
      </c>
    </row>
    <row r="161" spans="1:4" ht="12.75">
      <c r="A161" s="138">
        <v>42320</v>
      </c>
      <c r="B161" s="139">
        <v>0.14135416666666667</v>
      </c>
      <c r="C161" s="8">
        <v>197</v>
      </c>
      <c r="D161" s="8">
        <v>80.897999999999996</v>
      </c>
    </row>
    <row r="162" spans="1:4" ht="12.75">
      <c r="A162" s="138">
        <v>42320</v>
      </c>
      <c r="B162" s="139">
        <v>0.14204861111111111</v>
      </c>
      <c r="C162" s="8">
        <v>198</v>
      </c>
      <c r="D162" s="8">
        <v>80.614999999999995</v>
      </c>
    </row>
    <row r="163" spans="1:4" ht="12.75">
      <c r="A163" s="138">
        <v>42320</v>
      </c>
      <c r="B163" s="139">
        <v>0.14274305555555555</v>
      </c>
      <c r="C163" s="8">
        <v>199</v>
      </c>
      <c r="D163" s="8">
        <v>80.367000000000004</v>
      </c>
    </row>
    <row r="164" spans="1:4" ht="12.75">
      <c r="A164" s="138">
        <v>42320</v>
      </c>
      <c r="B164" s="139">
        <v>0.1434375</v>
      </c>
      <c r="C164" s="8">
        <v>200</v>
      </c>
      <c r="D164" s="8">
        <v>80.099999999999994</v>
      </c>
    </row>
    <row r="165" spans="1:4" ht="12.75">
      <c r="A165" s="138">
        <v>42320</v>
      </c>
      <c r="B165" s="139">
        <v>0.14413194444444444</v>
      </c>
      <c r="C165" s="8">
        <v>201</v>
      </c>
      <c r="D165" s="8">
        <v>80.352000000000004</v>
      </c>
    </row>
    <row r="166" spans="1:4" ht="12.75">
      <c r="A166" s="138">
        <v>42320</v>
      </c>
      <c r="B166" s="139">
        <v>0.14483796296296297</v>
      </c>
      <c r="C166" s="8">
        <v>202</v>
      </c>
      <c r="D166" s="8">
        <v>80.757000000000005</v>
      </c>
    </row>
    <row r="167" spans="1:4" ht="12.75">
      <c r="A167" s="138">
        <v>42320</v>
      </c>
      <c r="B167" s="139">
        <v>0.14553240740740742</v>
      </c>
      <c r="C167" s="8">
        <v>203</v>
      </c>
      <c r="D167" s="8">
        <v>80.27</v>
      </c>
    </row>
    <row r="168" spans="1:4" ht="12.75">
      <c r="A168" s="138">
        <v>42320</v>
      </c>
      <c r="B168" s="139">
        <v>0.14622685185185186</v>
      </c>
      <c r="C168" s="8">
        <v>204</v>
      </c>
      <c r="D168" s="8">
        <v>80.58</v>
      </c>
    </row>
    <row r="169" spans="1:4" ht="12.75">
      <c r="A169" s="138">
        <v>42320</v>
      </c>
      <c r="B169" s="139">
        <v>0.1469212962962963</v>
      </c>
      <c r="C169" s="8">
        <v>205</v>
      </c>
      <c r="D169" s="8">
        <v>80.206999999999994</v>
      </c>
    </row>
    <row r="170" spans="1:4" ht="12.75">
      <c r="A170" s="138">
        <v>42320</v>
      </c>
      <c r="B170" s="139">
        <v>0.14761574074074074</v>
      </c>
      <c r="C170" s="8">
        <v>206</v>
      </c>
      <c r="D170" s="8">
        <v>79.844999999999999</v>
      </c>
    </row>
    <row r="171" spans="1:4" ht="12.75">
      <c r="A171" s="138">
        <v>42320</v>
      </c>
      <c r="B171" s="139">
        <v>0.14831018518518518</v>
      </c>
      <c r="C171" s="8">
        <v>207</v>
      </c>
      <c r="D171" s="8">
        <v>80.275999999999996</v>
      </c>
    </row>
    <row r="172" spans="1:4" ht="12.75">
      <c r="A172" s="138">
        <v>42320</v>
      </c>
      <c r="B172" s="139">
        <v>0.14900462962962963</v>
      </c>
      <c r="C172" s="8">
        <v>208</v>
      </c>
      <c r="D172" s="8">
        <v>79.885000000000005</v>
      </c>
    </row>
    <row r="173" spans="1:4" ht="12.75">
      <c r="A173" s="138">
        <v>42320</v>
      </c>
      <c r="B173" s="139">
        <v>0.14969907407407407</v>
      </c>
      <c r="C173" s="8">
        <v>209</v>
      </c>
      <c r="D173" s="8">
        <v>80.031000000000006</v>
      </c>
    </row>
    <row r="174" spans="1:4" ht="12.75">
      <c r="A174" s="138">
        <v>42320</v>
      </c>
      <c r="B174" s="139">
        <v>0.15039351851851851</v>
      </c>
      <c r="C174" s="8">
        <v>210</v>
      </c>
      <c r="D174" s="8">
        <v>79.590999999999994</v>
      </c>
    </row>
    <row r="175" spans="1:4" ht="12.75">
      <c r="A175" s="138">
        <v>42320</v>
      </c>
      <c r="B175" s="139">
        <v>0.15108796296296295</v>
      </c>
      <c r="C175" s="8">
        <v>211</v>
      </c>
      <c r="D175" s="8">
        <v>79.412000000000006</v>
      </c>
    </row>
    <row r="176" spans="1:4" ht="12.75">
      <c r="A176" s="138">
        <v>42320</v>
      </c>
      <c r="B176" s="139">
        <v>0.15178240740740739</v>
      </c>
      <c r="C176" s="8">
        <v>212</v>
      </c>
      <c r="D176" s="8">
        <v>79.712000000000003</v>
      </c>
    </row>
    <row r="177" spans="1:4" ht="12.75">
      <c r="A177" s="138">
        <v>42320</v>
      </c>
      <c r="B177" s="139">
        <v>0.15247685185185186</v>
      </c>
      <c r="C177" s="8">
        <v>213</v>
      </c>
      <c r="D177" s="8">
        <v>79.391000000000005</v>
      </c>
    </row>
    <row r="178" spans="1:4" ht="12.75">
      <c r="A178" s="138">
        <v>42320</v>
      </c>
      <c r="B178" s="139">
        <v>0.15317129629629631</v>
      </c>
      <c r="C178" s="8">
        <v>214</v>
      </c>
      <c r="D178" s="8">
        <v>79.206000000000003</v>
      </c>
    </row>
    <row r="179" spans="1:4" ht="12.75">
      <c r="A179" s="138">
        <v>42320</v>
      </c>
      <c r="B179" s="139">
        <v>0.15386574074074075</v>
      </c>
      <c r="C179" s="8">
        <v>215</v>
      </c>
      <c r="D179" s="8">
        <v>79.518000000000001</v>
      </c>
    </row>
    <row r="180" spans="1:4" ht="12.75">
      <c r="A180" s="138">
        <v>42320</v>
      </c>
      <c r="B180" s="139">
        <v>0.15456018518518519</v>
      </c>
      <c r="C180" s="8">
        <v>216</v>
      </c>
      <c r="D180" s="8">
        <v>79.373999999999995</v>
      </c>
    </row>
    <row r="181" spans="1:4" ht="12.75">
      <c r="A181" s="138">
        <v>42320</v>
      </c>
      <c r="B181" s="139">
        <v>0.15525462962962963</v>
      </c>
      <c r="C181" s="8">
        <v>217</v>
      </c>
      <c r="D181" s="8">
        <v>79.471000000000004</v>
      </c>
    </row>
    <row r="182" spans="1:4" ht="12.75">
      <c r="A182" s="138">
        <v>42320</v>
      </c>
      <c r="B182" s="139">
        <v>0.15594907407407407</v>
      </c>
      <c r="C182" s="8">
        <v>218</v>
      </c>
      <c r="D182" s="8">
        <v>78.8</v>
      </c>
    </row>
    <row r="183" spans="1:4" ht="12.75">
      <c r="A183" s="138">
        <v>42320</v>
      </c>
      <c r="B183" s="139">
        <v>0.15664351851851852</v>
      </c>
      <c r="C183" s="8">
        <v>219</v>
      </c>
      <c r="D183" s="8">
        <v>78.899000000000001</v>
      </c>
    </row>
    <row r="184" spans="1:4" ht="12.75">
      <c r="A184" s="138">
        <v>42320</v>
      </c>
      <c r="B184" s="139">
        <v>0.15733796296296296</v>
      </c>
      <c r="C184" s="8">
        <v>220</v>
      </c>
      <c r="D184" s="8">
        <v>78.808000000000007</v>
      </c>
    </row>
    <row r="185" spans="1:4" ht="12.75">
      <c r="A185" s="138">
        <v>42320</v>
      </c>
      <c r="B185" s="139">
        <v>0.1580324074074074</v>
      </c>
      <c r="C185" s="8">
        <v>221</v>
      </c>
      <c r="D185" s="8">
        <v>78.756</v>
      </c>
    </row>
    <row r="186" spans="1:4" ht="12.75">
      <c r="A186" s="138">
        <v>42320</v>
      </c>
      <c r="B186" s="139">
        <v>0.15872685185185184</v>
      </c>
      <c r="C186" s="8">
        <v>222.02</v>
      </c>
      <c r="D186" s="8">
        <v>78.742999999999995</v>
      </c>
    </row>
    <row r="187" spans="1:4" ht="12.75">
      <c r="A187" s="138">
        <v>42320</v>
      </c>
      <c r="B187" s="139">
        <v>0.15940972222222222</v>
      </c>
      <c r="C187" s="8">
        <v>223</v>
      </c>
      <c r="D187" s="8">
        <v>78.927000000000007</v>
      </c>
    </row>
    <row r="188" spans="1:4" ht="12.75">
      <c r="A188" s="138">
        <v>42320</v>
      </c>
      <c r="B188" s="139">
        <v>0.16010416666666666</v>
      </c>
      <c r="C188" s="8">
        <v>224</v>
      </c>
      <c r="D188" s="8">
        <v>78.834000000000003</v>
      </c>
    </row>
    <row r="189" spans="1:4" ht="12.75">
      <c r="A189" s="138">
        <v>42320</v>
      </c>
      <c r="B189" s="139">
        <v>0.1607986111111111</v>
      </c>
      <c r="C189" s="8">
        <v>225</v>
      </c>
      <c r="D189" s="8">
        <v>78.536000000000001</v>
      </c>
    </row>
    <row r="190" spans="1:4" ht="12.75">
      <c r="A190" s="138">
        <v>42320</v>
      </c>
      <c r="B190" s="139">
        <v>0.16149305555555554</v>
      </c>
      <c r="C190" s="8">
        <v>226</v>
      </c>
      <c r="D190" s="8">
        <v>78.652000000000001</v>
      </c>
    </row>
    <row r="191" spans="1:4" ht="12.75">
      <c r="A191" s="138">
        <v>42320</v>
      </c>
      <c r="B191" s="139">
        <v>0.16218750000000001</v>
      </c>
      <c r="C191" s="8">
        <v>227</v>
      </c>
      <c r="D191" s="8">
        <v>78.677000000000007</v>
      </c>
    </row>
    <row r="192" spans="1:4" ht="12.75">
      <c r="A192" s="138">
        <v>42320</v>
      </c>
      <c r="B192" s="139">
        <v>0.16288194444444445</v>
      </c>
      <c r="C192" s="8">
        <v>228</v>
      </c>
      <c r="D192" s="8">
        <v>78.283000000000001</v>
      </c>
    </row>
    <row r="193" spans="1:4" ht="12.75">
      <c r="A193" s="138">
        <v>42320</v>
      </c>
      <c r="B193" s="139">
        <v>0.1635763888888889</v>
      </c>
      <c r="C193" s="8">
        <v>229</v>
      </c>
      <c r="D193" s="8">
        <v>78.489000000000004</v>
      </c>
    </row>
    <row r="194" spans="1:4" ht="12.75">
      <c r="A194" s="138">
        <v>42320</v>
      </c>
      <c r="B194" s="139">
        <v>0.16427083333333334</v>
      </c>
      <c r="C194" s="8">
        <v>230</v>
      </c>
      <c r="D194" s="8">
        <v>78.465000000000003</v>
      </c>
    </row>
    <row r="195" spans="1:4" ht="12.75">
      <c r="A195" s="138">
        <v>42320</v>
      </c>
      <c r="B195" s="139">
        <v>0.16496527777777778</v>
      </c>
      <c r="C195" s="8">
        <v>231</v>
      </c>
      <c r="D195" s="8">
        <v>78.697000000000003</v>
      </c>
    </row>
    <row r="196" spans="1:4" ht="12.75">
      <c r="A196" s="138">
        <v>42320</v>
      </c>
      <c r="B196" s="139">
        <v>0.16565972222222222</v>
      </c>
      <c r="C196" s="8">
        <v>232</v>
      </c>
      <c r="D196" s="8">
        <v>78.62</v>
      </c>
    </row>
    <row r="197" spans="1:4" ht="12.75">
      <c r="A197" s="138">
        <v>42320</v>
      </c>
      <c r="B197" s="139">
        <v>0.16635416666666666</v>
      </c>
      <c r="C197" s="8">
        <v>233</v>
      </c>
      <c r="D197" s="8">
        <v>78.165999999999997</v>
      </c>
    </row>
    <row r="198" spans="1:4" ht="12.75">
      <c r="A198" s="138">
        <v>42320</v>
      </c>
      <c r="B198" s="139">
        <v>0.16704861111111111</v>
      </c>
      <c r="C198" s="8">
        <v>234</v>
      </c>
      <c r="D198" s="8">
        <v>78.19</v>
      </c>
    </row>
    <row r="199" spans="1:4" ht="12.75">
      <c r="A199" s="138">
        <v>42320</v>
      </c>
      <c r="B199" s="139">
        <v>0.16774305555555555</v>
      </c>
      <c r="C199" s="8">
        <v>235</v>
      </c>
      <c r="D199" s="8">
        <v>78.156000000000006</v>
      </c>
    </row>
    <row r="200" spans="1:4" ht="12.75">
      <c r="A200" s="138">
        <v>42320</v>
      </c>
      <c r="B200" s="139">
        <v>0.16843749999999999</v>
      </c>
      <c r="C200" s="8">
        <v>236</v>
      </c>
      <c r="D200" s="8">
        <v>78.022000000000006</v>
      </c>
    </row>
    <row r="201" spans="1:4" ht="12.75">
      <c r="A201" s="138">
        <v>42320</v>
      </c>
      <c r="B201" s="139">
        <v>0.16913194444444443</v>
      </c>
      <c r="C201" s="8">
        <v>237</v>
      </c>
      <c r="D201" s="8">
        <v>78.132000000000005</v>
      </c>
    </row>
    <row r="202" spans="1:4" ht="12.75">
      <c r="A202" s="138">
        <v>42320</v>
      </c>
      <c r="B202" s="139">
        <v>0.1698263888888889</v>
      </c>
      <c r="C202" s="8">
        <v>238</v>
      </c>
      <c r="D202" s="8">
        <v>78.337000000000003</v>
      </c>
    </row>
    <row r="203" spans="1:4" ht="12.75">
      <c r="A203" s="138">
        <v>42320</v>
      </c>
      <c r="B203" s="139">
        <v>0.17052083333333334</v>
      </c>
      <c r="C203" s="8">
        <v>239</v>
      </c>
      <c r="D203" s="8">
        <v>77.968000000000004</v>
      </c>
    </row>
    <row r="204" spans="1:4" ht="12.75">
      <c r="A204" s="138">
        <v>42320</v>
      </c>
      <c r="B204" s="139">
        <v>0.17121527777777779</v>
      </c>
      <c r="C204" s="8">
        <v>240</v>
      </c>
      <c r="D204" s="8">
        <v>78.084999999999994</v>
      </c>
    </row>
    <row r="205" spans="1:4" ht="12.75">
      <c r="A205" s="138">
        <v>42320</v>
      </c>
      <c r="B205" s="139">
        <v>0.17190972222222223</v>
      </c>
      <c r="C205" s="8">
        <v>241</v>
      </c>
      <c r="D205" s="8">
        <v>78.161000000000001</v>
      </c>
    </row>
    <row r="206" spans="1:4" ht="12.75">
      <c r="A206" s="138">
        <v>42320</v>
      </c>
      <c r="B206" s="139">
        <v>0.17260416666666667</v>
      </c>
      <c r="C206" s="8">
        <v>242</v>
      </c>
      <c r="D206" s="8">
        <v>78.122</v>
      </c>
    </row>
    <row r="207" spans="1:4" ht="12.75">
      <c r="A207" s="138">
        <v>42320</v>
      </c>
      <c r="B207" s="139">
        <v>0.17329861111111111</v>
      </c>
      <c r="C207" s="8">
        <v>243</v>
      </c>
      <c r="D207" s="8">
        <v>78.164000000000001</v>
      </c>
    </row>
    <row r="208" spans="1:4" ht="12.75">
      <c r="A208" s="138">
        <v>42320</v>
      </c>
      <c r="B208" s="139">
        <v>0.17399305555555555</v>
      </c>
      <c r="C208" s="8">
        <v>244</v>
      </c>
      <c r="D208" s="8">
        <v>78.132000000000005</v>
      </c>
    </row>
    <row r="209" spans="1:4" ht="12.75">
      <c r="A209" s="138">
        <v>42320</v>
      </c>
      <c r="B209" s="139">
        <v>0.1746875</v>
      </c>
      <c r="C209" s="8">
        <v>245</v>
      </c>
      <c r="D209" s="8">
        <v>77.888999999999996</v>
      </c>
    </row>
    <row r="210" spans="1:4" ht="12.75">
      <c r="A210" s="138">
        <v>42320</v>
      </c>
      <c r="B210" s="139">
        <v>0.17538194444444444</v>
      </c>
      <c r="C210" s="8">
        <v>246</v>
      </c>
      <c r="D210" s="8">
        <v>77.903999999999996</v>
      </c>
    </row>
    <row r="211" spans="1:4" ht="12.75">
      <c r="A211" s="138">
        <v>42320</v>
      </c>
      <c r="B211" s="139">
        <v>0.17607638888888888</v>
      </c>
      <c r="C211" s="8">
        <v>247</v>
      </c>
      <c r="D211" s="8">
        <v>77.978999999999999</v>
      </c>
    </row>
    <row r="212" spans="1:4" ht="12.75">
      <c r="A212" s="138">
        <v>42320</v>
      </c>
      <c r="B212" s="139">
        <v>0.17677083333333332</v>
      </c>
      <c r="C212" s="8">
        <v>248</v>
      </c>
      <c r="D212" s="8">
        <v>77.674999999999997</v>
      </c>
    </row>
    <row r="213" spans="1:4" ht="12.75">
      <c r="A213" s="138">
        <v>42320</v>
      </c>
      <c r="B213" s="139">
        <v>0.17746527777777779</v>
      </c>
      <c r="C213" s="8">
        <v>249</v>
      </c>
      <c r="D213" s="8">
        <v>78.024000000000001</v>
      </c>
    </row>
    <row r="214" spans="1:4" ht="12.75">
      <c r="A214" s="138">
        <v>42320</v>
      </c>
      <c r="B214" s="139">
        <v>0.17815972222222223</v>
      </c>
      <c r="C214" s="8">
        <v>250</v>
      </c>
      <c r="D214" s="8">
        <v>77.959999999999994</v>
      </c>
    </row>
    <row r="215" spans="1:4" ht="12.75">
      <c r="A215" s="138">
        <v>42320</v>
      </c>
      <c r="B215" s="139">
        <v>0.17885416666666668</v>
      </c>
      <c r="C215" s="8">
        <v>251</v>
      </c>
      <c r="D215" s="8">
        <v>77.379000000000005</v>
      </c>
    </row>
    <row r="216" spans="1:4" ht="12.75">
      <c r="A216" s="138">
        <v>42320</v>
      </c>
      <c r="B216" s="139">
        <v>0.17954861111111112</v>
      </c>
      <c r="C216" s="8">
        <v>252</v>
      </c>
      <c r="D216" s="8">
        <v>77.727000000000004</v>
      </c>
    </row>
    <row r="217" spans="1:4" ht="12.75">
      <c r="A217" s="138">
        <v>42320</v>
      </c>
      <c r="B217" s="139">
        <v>0.18024305555555556</v>
      </c>
      <c r="C217" s="8">
        <v>253</v>
      </c>
      <c r="D217" s="8">
        <v>77.561000000000007</v>
      </c>
    </row>
    <row r="218" spans="1:4" ht="12.75">
      <c r="A218" s="138">
        <v>42320</v>
      </c>
      <c r="B218" s="139">
        <v>0.1809375</v>
      </c>
      <c r="C218" s="8">
        <v>254</v>
      </c>
      <c r="D218" s="8">
        <v>77.875</v>
      </c>
    </row>
    <row r="219" spans="1:4" ht="12.75">
      <c r="A219" s="138">
        <v>42320</v>
      </c>
      <c r="B219" s="139">
        <v>0.18163194444444444</v>
      </c>
      <c r="C219" s="8">
        <v>255</v>
      </c>
      <c r="D219" s="8">
        <v>77.903000000000006</v>
      </c>
    </row>
    <row r="220" spans="1:4" ht="12.75">
      <c r="A220" s="138">
        <v>42320</v>
      </c>
      <c r="B220" s="139">
        <v>0.18232638888888889</v>
      </c>
      <c r="C220" s="8">
        <v>256</v>
      </c>
      <c r="D220" s="8">
        <v>77.986999999999995</v>
      </c>
    </row>
    <row r="221" spans="1:4" ht="12.75">
      <c r="A221" s="138">
        <v>42320</v>
      </c>
      <c r="B221" s="139">
        <v>0.18302083333333333</v>
      </c>
      <c r="C221" s="8">
        <v>257</v>
      </c>
      <c r="D221" s="8">
        <v>77.62</v>
      </c>
    </row>
    <row r="222" spans="1:4" ht="12.75">
      <c r="A222" s="138">
        <v>42320</v>
      </c>
      <c r="B222" s="139">
        <v>0.18371527777777777</v>
      </c>
      <c r="C222" s="8">
        <v>258</v>
      </c>
      <c r="D222" s="8">
        <v>77.543000000000006</v>
      </c>
    </row>
    <row r="223" spans="1:4" ht="12.75">
      <c r="A223" s="138">
        <v>42320</v>
      </c>
      <c r="B223" s="139">
        <v>0.18440972222222221</v>
      </c>
      <c r="C223" s="8">
        <v>259</v>
      </c>
      <c r="D223" s="8">
        <v>77.16</v>
      </c>
    </row>
    <row r="224" spans="1:4" ht="12.75">
      <c r="A224" s="138">
        <v>42320</v>
      </c>
      <c r="B224" s="139">
        <v>0.18510416666666665</v>
      </c>
      <c r="C224" s="8">
        <v>260</v>
      </c>
      <c r="D224" s="8">
        <v>77.450999999999993</v>
      </c>
    </row>
    <row r="225" spans="1:4" ht="12.75">
      <c r="A225" s="138">
        <v>42320</v>
      </c>
      <c r="B225" s="139">
        <v>0.18579861111111112</v>
      </c>
      <c r="C225" s="8">
        <v>261</v>
      </c>
      <c r="D225" s="8">
        <v>77.212999999999994</v>
      </c>
    </row>
    <row r="226" spans="1:4" ht="12.75">
      <c r="A226" s="138">
        <v>42320</v>
      </c>
      <c r="B226" s="139">
        <v>0.18649305555555556</v>
      </c>
      <c r="C226" s="8">
        <v>262</v>
      </c>
      <c r="D226" s="8">
        <v>77.652000000000001</v>
      </c>
    </row>
    <row r="227" spans="1:4" ht="12.75">
      <c r="A227" s="138">
        <v>42320</v>
      </c>
      <c r="B227" s="139">
        <v>0.18718750000000001</v>
      </c>
      <c r="C227" s="8">
        <v>263</v>
      </c>
      <c r="D227" s="8">
        <v>77.430000000000007</v>
      </c>
    </row>
    <row r="228" spans="1:4" ht="12.75">
      <c r="A228" s="138">
        <v>42320</v>
      </c>
      <c r="B228" s="139">
        <v>0.18788194444444445</v>
      </c>
      <c r="C228" s="8">
        <v>264</v>
      </c>
      <c r="D228" s="8">
        <v>77.56</v>
      </c>
    </row>
    <row r="229" spans="1:4" ht="12.75">
      <c r="A229" s="138">
        <v>42320</v>
      </c>
      <c r="B229" s="139">
        <v>0.18857638888888889</v>
      </c>
      <c r="C229" s="8">
        <v>265</v>
      </c>
      <c r="D229" s="8">
        <v>77.100999999999999</v>
      </c>
    </row>
    <row r="230" spans="1:4" ht="12.75">
      <c r="A230" s="138">
        <v>42320</v>
      </c>
      <c r="B230" s="139">
        <v>0.18927083333333333</v>
      </c>
      <c r="C230" s="8">
        <v>266</v>
      </c>
      <c r="D230" s="8">
        <v>77.480999999999995</v>
      </c>
    </row>
    <row r="231" spans="1:4" ht="12.75">
      <c r="A231" s="138">
        <v>42320</v>
      </c>
      <c r="B231" s="139">
        <v>0.18996527777777777</v>
      </c>
      <c r="C231" s="8">
        <v>267</v>
      </c>
      <c r="D231" s="8">
        <v>77.355999999999995</v>
      </c>
    </row>
    <row r="232" spans="1:4" ht="12.75">
      <c r="A232" s="138">
        <v>42320</v>
      </c>
      <c r="B232" s="139">
        <v>0.19065972222222222</v>
      </c>
      <c r="C232" s="8">
        <v>268</v>
      </c>
      <c r="D232" s="8">
        <v>77.400000000000006</v>
      </c>
    </row>
    <row r="233" spans="1:4" ht="12.75">
      <c r="A233" s="138">
        <v>42320</v>
      </c>
      <c r="B233" s="139">
        <v>0.19135416666666666</v>
      </c>
      <c r="C233" s="8">
        <v>269</v>
      </c>
      <c r="D233" s="8">
        <v>77.602000000000004</v>
      </c>
    </row>
    <row r="234" spans="1:4" ht="12.75">
      <c r="A234" s="138">
        <v>42320</v>
      </c>
      <c r="B234" s="139">
        <v>0.1920486111111111</v>
      </c>
      <c r="C234" s="8">
        <v>270</v>
      </c>
      <c r="D234" s="8">
        <v>77.204999999999998</v>
      </c>
    </row>
    <row r="235" spans="1:4" ht="12.75">
      <c r="A235" s="138">
        <v>42320</v>
      </c>
      <c r="B235" s="139">
        <v>0.19274305555555554</v>
      </c>
      <c r="C235" s="8">
        <v>271</v>
      </c>
      <c r="D235" s="8">
        <v>77.003</v>
      </c>
    </row>
    <row r="236" spans="1:4" ht="12.75">
      <c r="A236" s="138">
        <v>42320</v>
      </c>
      <c r="B236" s="139">
        <v>0.19343750000000001</v>
      </c>
      <c r="C236" s="8">
        <v>272</v>
      </c>
      <c r="D236" s="8">
        <v>77.180000000000007</v>
      </c>
    </row>
    <row r="237" spans="1:4" ht="12.75">
      <c r="A237" s="138">
        <v>42320</v>
      </c>
      <c r="B237" s="139">
        <v>0.19413194444444445</v>
      </c>
      <c r="C237" s="8">
        <v>273</v>
      </c>
      <c r="D237" s="8">
        <v>76.623000000000005</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7"/>
  <sheetViews>
    <sheetView workbookViewId="0"/>
  </sheetViews>
  <sheetFormatPr defaultColWidth="14.42578125" defaultRowHeight="15.75" customHeight="1"/>
  <cols>
    <col min="2" max="2" width="18.5703125" customWidth="1"/>
  </cols>
  <sheetData>
    <row r="2" spans="1:2" ht="15.75" customHeight="1">
      <c r="A2" s="1" t="s">
        <v>828</v>
      </c>
    </row>
    <row r="3" spans="1:2" ht="15.75" customHeight="1">
      <c r="A3" s="1" t="s">
        <v>829</v>
      </c>
      <c r="B3" s="1" t="s">
        <v>830</v>
      </c>
    </row>
    <row r="4" spans="1:2" ht="15.75" customHeight="1">
      <c r="A4" s="1">
        <v>56</v>
      </c>
      <c r="B4" s="1">
        <v>1.32</v>
      </c>
    </row>
    <row r="5" spans="1:2" ht="15.75" customHeight="1">
      <c r="A5" s="1">
        <v>71</v>
      </c>
      <c r="B5" s="1">
        <v>1.45</v>
      </c>
    </row>
    <row r="6" spans="1:2" ht="15.75" customHeight="1">
      <c r="A6" s="1">
        <v>87</v>
      </c>
      <c r="B6" s="1">
        <v>1.68</v>
      </c>
    </row>
    <row r="7" spans="1:2" ht="15.75" customHeight="1">
      <c r="A7" s="1">
        <v>114</v>
      </c>
      <c r="B7" s="1">
        <v>1.87</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sheetViews>
  <sheetFormatPr defaultColWidth="14.42578125" defaultRowHeight="15.75" customHeight="1"/>
  <cols>
    <col min="7" max="7" width="28" customWidth="1"/>
    <col min="8" max="8" width="15.28515625" customWidth="1"/>
  </cols>
  <sheetData>
    <row r="1" spans="1:28" ht="15.75" customHeight="1">
      <c r="A1" s="114" t="s">
        <v>1</v>
      </c>
      <c r="B1" s="110" t="s">
        <v>658</v>
      </c>
      <c r="C1" s="114" t="s">
        <v>659</v>
      </c>
      <c r="D1" s="114" t="s">
        <v>660</v>
      </c>
      <c r="E1" s="114" t="s">
        <v>661</v>
      </c>
      <c r="F1" s="110" t="s">
        <v>662</v>
      </c>
      <c r="G1" s="114" t="s">
        <v>97</v>
      </c>
      <c r="H1" s="110" t="s">
        <v>585</v>
      </c>
      <c r="I1" s="114" t="s">
        <v>664</v>
      </c>
      <c r="J1" s="114" t="s">
        <v>665</v>
      </c>
      <c r="K1" s="114" t="s">
        <v>666</v>
      </c>
      <c r="L1" s="114" t="s">
        <v>667</v>
      </c>
      <c r="N1" s="1" t="s">
        <v>6</v>
      </c>
      <c r="O1" s="1" t="s">
        <v>7</v>
      </c>
      <c r="P1" s="1" t="s">
        <v>8</v>
      </c>
      <c r="Q1" s="1" t="s">
        <v>9</v>
      </c>
      <c r="R1" s="1" t="s">
        <v>10</v>
      </c>
      <c r="S1" s="103" t="s">
        <v>11</v>
      </c>
      <c r="T1" s="103" t="s">
        <v>397</v>
      </c>
      <c r="U1" s="1" t="s">
        <v>6</v>
      </c>
      <c r="V1" s="1" t="s">
        <v>7</v>
      </c>
      <c r="W1" s="1" t="s">
        <v>8</v>
      </c>
      <c r="X1" s="1" t="s">
        <v>9</v>
      </c>
      <c r="Y1" s="1" t="s">
        <v>10</v>
      </c>
      <c r="Z1" s="103" t="s">
        <v>11</v>
      </c>
      <c r="AA1" s="103" t="s">
        <v>397</v>
      </c>
      <c r="AB1" s="103"/>
    </row>
    <row r="2" spans="1:28" ht="15.75" customHeight="1">
      <c r="A2" s="1"/>
      <c r="M2" s="1" t="s">
        <v>831</v>
      </c>
      <c r="T2" s="1">
        <v>340</v>
      </c>
      <c r="AA2" s="1">
        <v>340</v>
      </c>
      <c r="AB2" s="1"/>
    </row>
    <row r="3" spans="1:28" ht="15.75" customHeight="1">
      <c r="A3" s="110" t="s">
        <v>17</v>
      </c>
      <c r="B3" s="110" t="s">
        <v>669</v>
      </c>
      <c r="C3" s="110" t="s">
        <v>832</v>
      </c>
      <c r="D3" s="111">
        <v>4</v>
      </c>
      <c r="E3" s="127">
        <f t="shared" ref="E3:E5" si="0">D3+J3/1000</f>
        <v>4.12</v>
      </c>
      <c r="F3" s="112">
        <v>11</v>
      </c>
      <c r="G3" s="112">
        <v>1</v>
      </c>
      <c r="H3" s="112">
        <v>30</v>
      </c>
      <c r="I3" s="111">
        <v>10</v>
      </c>
      <c r="J3" s="112">
        <v>120</v>
      </c>
      <c r="K3" s="112">
        <v>10</v>
      </c>
      <c r="L3" s="112">
        <v>50</v>
      </c>
      <c r="M3" s="1" t="s">
        <v>833</v>
      </c>
      <c r="N3" s="110">
        <v>12770.3</v>
      </c>
      <c r="O3" s="123">
        <v>0</v>
      </c>
      <c r="P3" s="123">
        <v>340.8</v>
      </c>
      <c r="Q3" s="123">
        <v>1249.9000000000001</v>
      </c>
      <c r="R3" s="123">
        <v>49.8</v>
      </c>
      <c r="S3" s="1">
        <f t="shared" ref="S3:S18" si="1">$T$2/P3*Q3</f>
        <v>1246.9659624413146</v>
      </c>
      <c r="U3" s="1">
        <v>12849.8</v>
      </c>
      <c r="V3" s="1">
        <v>0</v>
      </c>
      <c r="W3" s="1">
        <v>366</v>
      </c>
      <c r="X3" s="1">
        <v>1031.9000000000001</v>
      </c>
      <c r="Y3" s="1">
        <v>115.2</v>
      </c>
      <c r="Z3" s="1">
        <f t="shared" ref="Z3:Z18" si="2">$AA$2/W3*X3</f>
        <v>958.59562841530067</v>
      </c>
    </row>
    <row r="4" spans="1:28" ht="15.75" customHeight="1">
      <c r="A4" s="110" t="s">
        <v>18</v>
      </c>
      <c r="B4" s="110" t="s">
        <v>669</v>
      </c>
      <c r="C4" s="110" t="s">
        <v>832</v>
      </c>
      <c r="D4" s="111">
        <v>4</v>
      </c>
      <c r="E4" s="127">
        <f t="shared" si="0"/>
        <v>4.12</v>
      </c>
      <c r="F4" s="112">
        <v>11</v>
      </c>
      <c r="G4" s="112">
        <v>1</v>
      </c>
      <c r="H4" s="112">
        <v>30</v>
      </c>
      <c r="I4" s="111">
        <v>10</v>
      </c>
      <c r="J4" s="112">
        <v>120</v>
      </c>
      <c r="K4" s="112">
        <v>10</v>
      </c>
      <c r="L4" s="112">
        <v>50</v>
      </c>
      <c r="N4" s="110">
        <v>12852.7</v>
      </c>
      <c r="O4" s="123">
        <v>0</v>
      </c>
      <c r="P4" s="123">
        <v>344.1</v>
      </c>
      <c r="Q4" s="123">
        <v>1098.4000000000001</v>
      </c>
      <c r="R4" s="123">
        <v>103</v>
      </c>
      <c r="S4" s="1">
        <f t="shared" si="1"/>
        <v>1085.312409183377</v>
      </c>
      <c r="U4" s="1">
        <v>13462.6</v>
      </c>
      <c r="V4" s="1">
        <v>0</v>
      </c>
      <c r="W4" s="1">
        <v>364.5</v>
      </c>
      <c r="X4" s="1">
        <v>745.6</v>
      </c>
      <c r="Y4" s="1">
        <v>224.2</v>
      </c>
      <c r="Z4" s="1">
        <f t="shared" si="2"/>
        <v>695.48422496570652</v>
      </c>
    </row>
    <row r="5" spans="1:28" ht="15.75" customHeight="1">
      <c r="A5" s="110" t="s">
        <v>19</v>
      </c>
      <c r="B5" s="110" t="s">
        <v>669</v>
      </c>
      <c r="C5" s="110" t="s">
        <v>832</v>
      </c>
      <c r="D5" s="111">
        <v>4</v>
      </c>
      <c r="E5" s="127">
        <f t="shared" si="0"/>
        <v>4.12</v>
      </c>
      <c r="F5" s="112">
        <v>11</v>
      </c>
      <c r="G5" s="112">
        <v>1</v>
      </c>
      <c r="H5" s="112">
        <v>60</v>
      </c>
      <c r="I5" s="111">
        <v>10</v>
      </c>
      <c r="J5" s="112">
        <v>120</v>
      </c>
      <c r="K5" s="112">
        <v>10</v>
      </c>
      <c r="L5" s="112">
        <v>50</v>
      </c>
      <c r="N5" s="110">
        <v>12271.7</v>
      </c>
      <c r="O5" s="1">
        <v>0</v>
      </c>
      <c r="P5" s="123">
        <v>335.9</v>
      </c>
      <c r="Q5" s="1">
        <v>1140.8</v>
      </c>
      <c r="R5" s="1">
        <v>66.7</v>
      </c>
      <c r="S5" s="1">
        <f t="shared" si="1"/>
        <v>1154.7246204227449</v>
      </c>
      <c r="U5" s="1">
        <v>13071.1</v>
      </c>
      <c r="V5" s="1">
        <v>0</v>
      </c>
      <c r="W5" s="1">
        <v>367.2</v>
      </c>
      <c r="X5" s="1">
        <v>836.3</v>
      </c>
      <c r="Y5" s="1">
        <v>193.3</v>
      </c>
      <c r="Z5" s="1">
        <f t="shared" si="2"/>
        <v>774.35185185185185</v>
      </c>
    </row>
    <row r="6" spans="1:28" ht="15.75" customHeight="1">
      <c r="A6" s="110" t="s">
        <v>20</v>
      </c>
      <c r="B6" s="110" t="s">
        <v>669</v>
      </c>
      <c r="C6" s="110" t="s">
        <v>832</v>
      </c>
      <c r="D6" s="112">
        <v>4</v>
      </c>
      <c r="E6" s="112">
        <v>4.12</v>
      </c>
      <c r="F6" s="112">
        <v>11</v>
      </c>
      <c r="G6" s="112">
        <v>1</v>
      </c>
      <c r="H6" s="112">
        <v>90</v>
      </c>
      <c r="I6" s="111">
        <v>10</v>
      </c>
      <c r="J6" s="112">
        <v>120</v>
      </c>
      <c r="K6" s="112">
        <v>10</v>
      </c>
      <c r="L6" s="112">
        <v>50</v>
      </c>
      <c r="N6" s="110">
        <v>12865.8</v>
      </c>
      <c r="O6" s="1">
        <v>0</v>
      </c>
      <c r="P6" s="123">
        <v>349.3</v>
      </c>
      <c r="Q6" s="1">
        <v>962.2</v>
      </c>
      <c r="R6" s="1">
        <v>148</v>
      </c>
      <c r="S6" s="1">
        <f t="shared" si="1"/>
        <v>936.58173489836815</v>
      </c>
      <c r="U6" s="1">
        <v>13763.2</v>
      </c>
      <c r="V6" s="1">
        <v>0</v>
      </c>
      <c r="W6" s="1">
        <v>391.3</v>
      </c>
      <c r="X6" s="1">
        <v>505.9</v>
      </c>
      <c r="Y6" s="1">
        <v>302.5</v>
      </c>
      <c r="Z6" s="1">
        <f t="shared" si="2"/>
        <v>439.57577306414515</v>
      </c>
    </row>
    <row r="7" spans="1:28" ht="15.75" customHeight="1">
      <c r="A7" s="110" t="s">
        <v>21</v>
      </c>
      <c r="B7" s="110" t="s">
        <v>675</v>
      </c>
      <c r="C7" s="110" t="s">
        <v>832</v>
      </c>
      <c r="D7" s="112">
        <v>4</v>
      </c>
      <c r="E7" s="112">
        <v>4.12</v>
      </c>
      <c r="F7" s="112">
        <v>11</v>
      </c>
      <c r="G7" s="112">
        <v>2</v>
      </c>
      <c r="H7" s="112">
        <v>30</v>
      </c>
      <c r="I7" s="111">
        <v>10</v>
      </c>
      <c r="J7" s="112">
        <v>120</v>
      </c>
      <c r="K7" s="112">
        <v>10</v>
      </c>
      <c r="L7" s="112">
        <v>50</v>
      </c>
      <c r="N7" s="110">
        <v>12311.1</v>
      </c>
      <c r="O7" s="1">
        <v>0</v>
      </c>
      <c r="P7" s="123">
        <v>332.8</v>
      </c>
      <c r="Q7" s="1">
        <v>1129.5999999999999</v>
      </c>
      <c r="R7" s="1">
        <v>68.3</v>
      </c>
      <c r="S7" s="1">
        <f t="shared" si="1"/>
        <v>1154.0384615384614</v>
      </c>
      <c r="U7" s="1">
        <v>12679.3</v>
      </c>
      <c r="V7" s="1">
        <v>0</v>
      </c>
      <c r="W7" s="1">
        <v>347.4</v>
      </c>
      <c r="X7" s="1">
        <v>951.2</v>
      </c>
      <c r="Y7" s="1">
        <v>148.4</v>
      </c>
      <c r="Z7" s="1">
        <f t="shared" si="2"/>
        <v>930.93839953943586</v>
      </c>
    </row>
    <row r="8" spans="1:28" ht="15.75" customHeight="1">
      <c r="A8" s="110" t="s">
        <v>22</v>
      </c>
      <c r="B8" s="110" t="s">
        <v>675</v>
      </c>
      <c r="C8" s="110" t="s">
        <v>832</v>
      </c>
      <c r="D8" s="112">
        <v>4</v>
      </c>
      <c r="E8" s="112">
        <v>4.12</v>
      </c>
      <c r="F8" s="112">
        <v>11</v>
      </c>
      <c r="G8" s="112">
        <v>2</v>
      </c>
      <c r="H8" s="112">
        <v>30</v>
      </c>
      <c r="I8" s="111">
        <v>10</v>
      </c>
      <c r="J8" s="112">
        <v>120</v>
      </c>
      <c r="K8" s="112">
        <v>10</v>
      </c>
      <c r="L8" s="112">
        <v>50</v>
      </c>
      <c r="N8" s="110">
        <v>12675.6</v>
      </c>
      <c r="O8" s="1">
        <v>0</v>
      </c>
      <c r="P8" s="1">
        <v>343.5</v>
      </c>
      <c r="Q8" s="1">
        <v>979.3</v>
      </c>
      <c r="R8" s="1">
        <v>133.80000000000001</v>
      </c>
      <c r="S8" s="1">
        <f t="shared" si="1"/>
        <v>969.32168850072776</v>
      </c>
      <c r="U8" s="1">
        <v>13400.3</v>
      </c>
      <c r="V8" s="1">
        <v>0</v>
      </c>
      <c r="W8" s="1">
        <v>366.9</v>
      </c>
      <c r="X8" s="1">
        <v>631.6</v>
      </c>
      <c r="Y8" s="1">
        <v>256.8</v>
      </c>
      <c r="Z8" s="1">
        <f t="shared" si="2"/>
        <v>585.29299536658493</v>
      </c>
    </row>
    <row r="9" spans="1:28" ht="15.75" customHeight="1">
      <c r="A9" s="110" t="s">
        <v>23</v>
      </c>
      <c r="B9" s="110" t="s">
        <v>675</v>
      </c>
      <c r="C9" s="110" t="s">
        <v>832</v>
      </c>
      <c r="D9" s="111">
        <v>4</v>
      </c>
      <c r="E9" s="127">
        <f>D9+J9/1000</f>
        <v>4.12</v>
      </c>
      <c r="F9" s="112">
        <v>11</v>
      </c>
      <c r="G9" s="112">
        <v>2</v>
      </c>
      <c r="H9" s="112">
        <v>60</v>
      </c>
      <c r="I9" s="111">
        <v>10</v>
      </c>
      <c r="J9" s="112">
        <v>120</v>
      </c>
      <c r="K9" s="112">
        <v>10</v>
      </c>
      <c r="L9" s="112">
        <v>50</v>
      </c>
      <c r="N9" s="110">
        <v>12401.5</v>
      </c>
      <c r="O9" s="123">
        <v>0</v>
      </c>
      <c r="P9" s="123">
        <v>334.1</v>
      </c>
      <c r="Q9" s="123">
        <v>1055.0999999999999</v>
      </c>
      <c r="R9" s="123">
        <v>89.1</v>
      </c>
      <c r="S9" s="1">
        <f t="shared" si="1"/>
        <v>1073.7324154444775</v>
      </c>
      <c r="U9" s="1">
        <v>13056.5</v>
      </c>
      <c r="V9" s="1">
        <v>0</v>
      </c>
      <c r="W9" s="1">
        <v>371.8</v>
      </c>
      <c r="X9" s="1">
        <v>710.4</v>
      </c>
      <c r="Y9" s="1">
        <v>206.9</v>
      </c>
      <c r="Z9" s="1">
        <f t="shared" si="2"/>
        <v>649.63959117805268</v>
      </c>
    </row>
    <row r="10" spans="1:28" ht="15.75" customHeight="1">
      <c r="A10" s="110" t="s">
        <v>24</v>
      </c>
      <c r="B10" s="110" t="s">
        <v>675</v>
      </c>
      <c r="C10" s="110" t="s">
        <v>832</v>
      </c>
      <c r="D10" s="112">
        <v>4</v>
      </c>
      <c r="E10" s="112">
        <v>4.12</v>
      </c>
      <c r="F10" s="112">
        <v>11</v>
      </c>
      <c r="G10" s="112">
        <v>2</v>
      </c>
      <c r="H10" s="112">
        <v>90</v>
      </c>
      <c r="I10" s="111">
        <v>10</v>
      </c>
      <c r="J10" s="112">
        <v>120</v>
      </c>
      <c r="K10" s="112">
        <v>10</v>
      </c>
      <c r="L10" s="112">
        <v>50</v>
      </c>
      <c r="N10" s="110">
        <v>12146</v>
      </c>
      <c r="O10" s="1">
        <v>0</v>
      </c>
      <c r="P10" s="123">
        <v>353.1</v>
      </c>
      <c r="Q10" s="1">
        <v>1042.0999999999999</v>
      </c>
      <c r="R10" s="1">
        <v>105.3</v>
      </c>
      <c r="S10" s="1">
        <f t="shared" si="1"/>
        <v>1003.4381195128857</v>
      </c>
      <c r="U10" s="1">
        <v>13056.5</v>
      </c>
      <c r="V10" s="1">
        <v>0</v>
      </c>
      <c r="W10" s="1">
        <v>371.8</v>
      </c>
      <c r="X10" s="1">
        <v>710.4</v>
      </c>
      <c r="Y10" s="1">
        <v>206.9</v>
      </c>
      <c r="Z10" s="1">
        <f t="shared" si="2"/>
        <v>649.63959117805268</v>
      </c>
    </row>
    <row r="11" spans="1:28" ht="15.75" customHeight="1">
      <c r="A11" s="110" t="s">
        <v>25</v>
      </c>
      <c r="B11" s="110" t="s">
        <v>678</v>
      </c>
      <c r="C11" s="110" t="s">
        <v>832</v>
      </c>
      <c r="D11" s="112">
        <v>4</v>
      </c>
      <c r="E11" s="112">
        <v>4.12</v>
      </c>
      <c r="F11" s="112">
        <v>11</v>
      </c>
      <c r="G11" s="112">
        <v>3</v>
      </c>
      <c r="H11" s="112">
        <v>30</v>
      </c>
      <c r="I11" s="111">
        <v>10</v>
      </c>
      <c r="J11" s="112">
        <v>120</v>
      </c>
      <c r="K11" s="112">
        <v>10</v>
      </c>
      <c r="L11" s="112">
        <v>50</v>
      </c>
      <c r="N11" s="110">
        <v>11841</v>
      </c>
      <c r="O11" s="1">
        <v>0</v>
      </c>
      <c r="P11" s="123">
        <v>325</v>
      </c>
      <c r="Q11" s="1">
        <v>1183.3</v>
      </c>
      <c r="R11" s="1">
        <v>56.7</v>
      </c>
      <c r="S11" s="1">
        <f t="shared" si="1"/>
        <v>1237.9138461538462</v>
      </c>
      <c r="U11" s="1">
        <v>12185</v>
      </c>
      <c r="V11" s="1">
        <v>0</v>
      </c>
      <c r="W11" s="1">
        <v>336.7</v>
      </c>
      <c r="X11" s="1">
        <v>1055.4000000000001</v>
      </c>
      <c r="Y11" s="1">
        <v>99.5</v>
      </c>
      <c r="Z11" s="1">
        <f t="shared" si="2"/>
        <v>1065.7439857439858</v>
      </c>
    </row>
    <row r="12" spans="1:28" ht="15.75" customHeight="1">
      <c r="A12" s="110" t="s">
        <v>26</v>
      </c>
      <c r="B12" s="110" t="s">
        <v>678</v>
      </c>
      <c r="C12" s="110" t="s">
        <v>832</v>
      </c>
      <c r="D12" s="112">
        <v>4</v>
      </c>
      <c r="E12" s="112">
        <v>4.12</v>
      </c>
      <c r="F12" s="112">
        <v>11</v>
      </c>
      <c r="G12" s="112">
        <v>3</v>
      </c>
      <c r="H12" s="112">
        <v>60</v>
      </c>
      <c r="I12" s="111">
        <v>10</v>
      </c>
      <c r="J12" s="112">
        <v>120</v>
      </c>
      <c r="K12" s="112">
        <v>10</v>
      </c>
      <c r="L12" s="112">
        <v>50</v>
      </c>
      <c r="N12" s="110">
        <v>11981.7</v>
      </c>
      <c r="O12" s="1">
        <v>0</v>
      </c>
      <c r="P12" s="123">
        <v>325.2</v>
      </c>
      <c r="Q12" s="1">
        <v>1177.7</v>
      </c>
      <c r="R12" s="1">
        <v>47.6</v>
      </c>
      <c r="S12" s="1">
        <f t="shared" si="1"/>
        <v>1231.2976629766299</v>
      </c>
      <c r="U12" s="1">
        <v>12328.5</v>
      </c>
      <c r="V12" s="1">
        <v>0</v>
      </c>
      <c r="W12" s="1">
        <v>333.7</v>
      </c>
      <c r="X12" s="1">
        <v>1021.1</v>
      </c>
      <c r="Y12" s="1">
        <v>114.2</v>
      </c>
      <c r="Z12" s="1">
        <f t="shared" si="2"/>
        <v>1040.3775846568776</v>
      </c>
    </row>
    <row r="13" spans="1:28" ht="15.75" customHeight="1">
      <c r="A13" s="110" t="s">
        <v>27</v>
      </c>
      <c r="B13" s="1" t="s">
        <v>679</v>
      </c>
      <c r="C13" s="110" t="s">
        <v>832</v>
      </c>
      <c r="D13" s="111">
        <v>4</v>
      </c>
      <c r="E13" s="127">
        <f t="shared" ref="E13:E18" si="3">D13+J13/1000</f>
        <v>4.12</v>
      </c>
      <c r="F13" s="112">
        <v>11</v>
      </c>
      <c r="G13" s="112">
        <v>3</v>
      </c>
      <c r="H13" s="112">
        <v>60</v>
      </c>
      <c r="I13" s="111">
        <v>10</v>
      </c>
      <c r="J13" s="112">
        <v>120</v>
      </c>
      <c r="K13" s="112">
        <v>10</v>
      </c>
      <c r="L13" s="112">
        <v>50</v>
      </c>
      <c r="N13" s="110">
        <v>12019.3</v>
      </c>
      <c r="O13" s="103">
        <v>0</v>
      </c>
      <c r="P13" s="123">
        <v>329.4</v>
      </c>
      <c r="Q13" s="103">
        <v>1079.7</v>
      </c>
      <c r="R13" s="103">
        <v>104.3</v>
      </c>
      <c r="S13" s="1">
        <f t="shared" si="1"/>
        <v>1114.4444444444446</v>
      </c>
      <c r="U13" s="1">
        <v>12607.9</v>
      </c>
      <c r="V13" s="1">
        <v>0</v>
      </c>
      <c r="W13" s="1">
        <v>339.6</v>
      </c>
      <c r="X13" s="1">
        <v>826.6</v>
      </c>
      <c r="Y13" s="1">
        <v>175.2</v>
      </c>
      <c r="Z13" s="1">
        <f t="shared" si="2"/>
        <v>827.57361601884577</v>
      </c>
    </row>
    <row r="14" spans="1:28" ht="15.75" customHeight="1">
      <c r="A14" s="110" t="s">
        <v>28</v>
      </c>
      <c r="B14" s="1" t="s">
        <v>679</v>
      </c>
      <c r="C14" s="110" t="s">
        <v>832</v>
      </c>
      <c r="D14" s="111">
        <v>4</v>
      </c>
      <c r="E14" s="127">
        <f t="shared" si="3"/>
        <v>4.12</v>
      </c>
      <c r="F14" s="112">
        <v>11</v>
      </c>
      <c r="G14" s="112">
        <v>3</v>
      </c>
      <c r="H14" s="112">
        <v>90</v>
      </c>
      <c r="I14" s="111">
        <v>10</v>
      </c>
      <c r="J14" s="112">
        <v>120</v>
      </c>
      <c r="K14" s="112">
        <v>10</v>
      </c>
      <c r="L14" s="112">
        <v>50</v>
      </c>
      <c r="N14" s="110">
        <v>12020.6</v>
      </c>
      <c r="O14" s="103">
        <v>0</v>
      </c>
      <c r="P14" s="123">
        <v>334.3</v>
      </c>
      <c r="Q14" s="1">
        <v>1069</v>
      </c>
      <c r="R14" s="1">
        <v>89.9</v>
      </c>
      <c r="S14" s="1">
        <f t="shared" si="1"/>
        <v>1087.2270415794196</v>
      </c>
      <c r="U14" s="1">
        <v>12643.6</v>
      </c>
      <c r="V14" s="1">
        <v>0</v>
      </c>
      <c r="W14" s="1">
        <v>353.4</v>
      </c>
      <c r="X14" s="1">
        <v>793.1</v>
      </c>
      <c r="Y14" s="1">
        <v>191.9</v>
      </c>
      <c r="Z14" s="1">
        <f t="shared" si="2"/>
        <v>763.0277306168648</v>
      </c>
    </row>
    <row r="15" spans="1:28" ht="15.75" customHeight="1">
      <c r="A15" s="110" t="s">
        <v>29</v>
      </c>
      <c r="B15" s="1" t="s">
        <v>682</v>
      </c>
      <c r="C15" s="110" t="s">
        <v>832</v>
      </c>
      <c r="D15" s="111">
        <v>4</v>
      </c>
      <c r="E15" s="127">
        <f t="shared" si="3"/>
        <v>4.12</v>
      </c>
      <c r="F15" s="112">
        <v>11</v>
      </c>
      <c r="G15" s="112">
        <v>4</v>
      </c>
      <c r="H15" s="112">
        <v>30</v>
      </c>
      <c r="I15" s="111">
        <v>10</v>
      </c>
      <c r="J15" s="112">
        <v>120</v>
      </c>
      <c r="K15" s="112">
        <v>10</v>
      </c>
      <c r="L15" s="112">
        <v>50</v>
      </c>
      <c r="N15" s="110">
        <v>11721.7</v>
      </c>
      <c r="O15" s="1">
        <v>0</v>
      </c>
      <c r="P15" s="123">
        <v>369.4</v>
      </c>
      <c r="Q15" s="1">
        <v>873.6</v>
      </c>
      <c r="R15" s="1">
        <v>140.80000000000001</v>
      </c>
      <c r="S15" s="1">
        <f t="shared" si="1"/>
        <v>804.07146724417987</v>
      </c>
      <c r="U15" s="1">
        <v>11942.9</v>
      </c>
      <c r="V15" s="1">
        <v>0</v>
      </c>
      <c r="W15" s="1">
        <v>432.7</v>
      </c>
      <c r="X15" s="1">
        <v>587.79999999999995</v>
      </c>
      <c r="Y15" s="1">
        <v>233.5</v>
      </c>
      <c r="Z15" s="1">
        <f t="shared" si="2"/>
        <v>461.87196672059162</v>
      </c>
    </row>
    <row r="16" spans="1:28" ht="15.75" customHeight="1">
      <c r="A16" s="110" t="s">
        <v>30</v>
      </c>
      <c r="B16" s="1" t="s">
        <v>682</v>
      </c>
      <c r="C16" s="110" t="s">
        <v>832</v>
      </c>
      <c r="D16" s="111">
        <v>4</v>
      </c>
      <c r="E16" s="127">
        <f t="shared" si="3"/>
        <v>4.12</v>
      </c>
      <c r="F16" s="112">
        <v>11</v>
      </c>
      <c r="G16" s="112">
        <v>4</v>
      </c>
      <c r="H16" s="112">
        <v>60</v>
      </c>
      <c r="I16" s="111">
        <v>10</v>
      </c>
      <c r="J16" s="112">
        <v>120</v>
      </c>
      <c r="K16" s="112">
        <v>10</v>
      </c>
      <c r="L16" s="112">
        <v>50</v>
      </c>
      <c r="N16" s="110">
        <v>12155.6</v>
      </c>
      <c r="O16" s="1">
        <v>0</v>
      </c>
      <c r="P16" s="123">
        <v>331.5</v>
      </c>
      <c r="Q16" s="1">
        <v>912.5</v>
      </c>
      <c r="R16" s="1">
        <v>131.69999999999999</v>
      </c>
      <c r="S16" s="1">
        <f t="shared" si="1"/>
        <v>935.8974358974358</v>
      </c>
      <c r="U16" s="1">
        <v>13196.8</v>
      </c>
      <c r="V16" s="1">
        <v>0</v>
      </c>
      <c r="W16" s="1">
        <v>363.2</v>
      </c>
      <c r="X16" s="1">
        <v>596.4</v>
      </c>
      <c r="Y16" s="1">
        <v>254.5</v>
      </c>
      <c r="Z16" s="1">
        <f t="shared" si="2"/>
        <v>558.30396475770931</v>
      </c>
    </row>
    <row r="17" spans="1:26" ht="15.75" customHeight="1">
      <c r="A17" s="110" t="s">
        <v>31</v>
      </c>
      <c r="B17" s="1" t="s">
        <v>682</v>
      </c>
      <c r="C17" s="110" t="s">
        <v>832</v>
      </c>
      <c r="D17" s="111">
        <v>4</v>
      </c>
      <c r="E17" s="127">
        <f t="shared" si="3"/>
        <v>4.12</v>
      </c>
      <c r="F17" s="112">
        <v>11</v>
      </c>
      <c r="G17" s="112">
        <v>4</v>
      </c>
      <c r="H17" s="112">
        <v>90</v>
      </c>
      <c r="I17" s="111">
        <v>10</v>
      </c>
      <c r="J17" s="112">
        <v>120</v>
      </c>
      <c r="K17" s="112">
        <v>10</v>
      </c>
      <c r="L17" s="112">
        <v>50</v>
      </c>
      <c r="N17" s="110">
        <v>12138.2</v>
      </c>
      <c r="O17" s="1">
        <v>0</v>
      </c>
      <c r="P17" s="123">
        <v>347.1</v>
      </c>
      <c r="Q17" s="1">
        <v>795.9</v>
      </c>
      <c r="R17" s="1">
        <v>185.6</v>
      </c>
      <c r="S17" s="1">
        <f t="shared" si="1"/>
        <v>779.61970613656001</v>
      </c>
      <c r="U17" s="1">
        <v>12896.3</v>
      </c>
      <c r="V17" s="1">
        <v>0</v>
      </c>
      <c r="W17" s="1">
        <v>401.5</v>
      </c>
      <c r="X17" s="1">
        <v>504.8</v>
      </c>
      <c r="Y17" s="1">
        <v>290.5</v>
      </c>
      <c r="Z17" s="1">
        <f t="shared" si="2"/>
        <v>427.47696139476966</v>
      </c>
    </row>
    <row r="18" spans="1:26" ht="15.75" customHeight="1">
      <c r="A18" s="110" t="s">
        <v>32</v>
      </c>
      <c r="B18" s="1" t="s">
        <v>682</v>
      </c>
      <c r="C18" s="110" t="s">
        <v>832</v>
      </c>
      <c r="D18" s="111">
        <v>4</v>
      </c>
      <c r="E18" s="127">
        <f t="shared" si="3"/>
        <v>4.12</v>
      </c>
      <c r="F18" s="112">
        <v>11</v>
      </c>
      <c r="G18" s="112">
        <v>4</v>
      </c>
      <c r="H18" s="112">
        <v>90</v>
      </c>
      <c r="I18" s="111">
        <v>10</v>
      </c>
      <c r="J18" s="112">
        <v>120</v>
      </c>
      <c r="K18" s="112">
        <v>10</v>
      </c>
      <c r="L18" s="112">
        <v>50</v>
      </c>
      <c r="N18" s="1">
        <v>12562.2</v>
      </c>
      <c r="O18" s="1">
        <v>0</v>
      </c>
      <c r="P18" s="123">
        <v>362.6</v>
      </c>
      <c r="Q18" s="1">
        <v>765.8</v>
      </c>
      <c r="R18" s="1">
        <v>175.3</v>
      </c>
      <c r="S18" s="1">
        <f t="shared" si="1"/>
        <v>718.06949806949797</v>
      </c>
      <c r="U18" s="1">
        <v>12817.4</v>
      </c>
      <c r="V18" s="1">
        <v>0</v>
      </c>
      <c r="W18" s="1">
        <v>474.1</v>
      </c>
      <c r="X18" s="1">
        <v>386.5</v>
      </c>
      <c r="Y18" s="1">
        <v>315.60000000000002</v>
      </c>
      <c r="Z18" s="1">
        <f t="shared" si="2"/>
        <v>277.17781058848345</v>
      </c>
    </row>
    <row r="19" spans="1:26" ht="15.75" customHeight="1">
      <c r="A19" s="110"/>
      <c r="B19" s="1"/>
      <c r="C19" s="110"/>
      <c r="D19" s="112"/>
      <c r="E19" s="112"/>
      <c r="F19" s="112"/>
      <c r="G19" s="112"/>
      <c r="H19" s="112"/>
      <c r="I19" s="112"/>
      <c r="J19" s="112"/>
      <c r="K19" s="112"/>
      <c r="L19" s="112"/>
      <c r="N19" s="1"/>
      <c r="O19" s="1"/>
      <c r="S19" s="1"/>
      <c r="U19" s="103"/>
      <c r="V19" s="1"/>
    </row>
    <row r="20" spans="1:26" ht="15.75" customHeight="1">
      <c r="A20" s="110"/>
      <c r="B20" s="1"/>
      <c r="C20" s="110"/>
      <c r="D20" s="112"/>
      <c r="E20" s="112"/>
      <c r="F20" s="112"/>
      <c r="G20" s="112"/>
      <c r="H20" s="112"/>
      <c r="I20" s="112"/>
      <c r="J20" s="112"/>
      <c r="K20" s="112"/>
      <c r="L20" s="112"/>
      <c r="N20" s="110"/>
    </row>
    <row r="21" spans="1:26" ht="15.75" customHeight="1">
      <c r="A21" s="110"/>
      <c r="B21" s="1"/>
      <c r="C21" s="110"/>
      <c r="D21" s="112"/>
      <c r="E21" s="112"/>
      <c r="F21" s="112"/>
      <c r="G21" s="112"/>
      <c r="H21" s="112"/>
      <c r="I21" s="112" t="s">
        <v>300</v>
      </c>
      <c r="J21" s="112">
        <f>SUM(J3:J18)</f>
        <v>1920</v>
      </c>
      <c r="K21" s="112"/>
      <c r="L21" s="112"/>
      <c r="N21" s="110"/>
    </row>
    <row r="22" spans="1:26" ht="15.75" customHeight="1">
      <c r="A22" s="110"/>
      <c r="B22" s="1"/>
      <c r="C22" s="110"/>
      <c r="D22" s="112"/>
      <c r="E22" s="112"/>
      <c r="F22" s="112"/>
      <c r="G22" s="112"/>
      <c r="H22" s="112"/>
      <c r="I22" s="111"/>
      <c r="J22" s="112"/>
      <c r="K22" s="112"/>
      <c r="L22" s="112"/>
      <c r="N22" s="110"/>
      <c r="Z22" s="124">
        <v>958.59562841530067</v>
      </c>
    </row>
    <row r="23" spans="1:26" ht="15.75" customHeight="1">
      <c r="A23" s="110"/>
      <c r="B23" s="1"/>
      <c r="C23" s="110"/>
      <c r="D23" s="112"/>
      <c r="E23" s="112"/>
      <c r="F23" s="112"/>
      <c r="G23" s="112"/>
      <c r="H23" s="112" t="s">
        <v>45</v>
      </c>
      <c r="I23" s="111"/>
      <c r="J23" s="112"/>
      <c r="K23" s="112"/>
      <c r="L23" s="112"/>
      <c r="N23" s="110"/>
      <c r="Z23" s="124">
        <v>695.48422496570652</v>
      </c>
    </row>
    <row r="24" spans="1:26" ht="15.75" customHeight="1">
      <c r="A24" s="110" t="s">
        <v>689</v>
      </c>
      <c r="B24" s="1"/>
      <c r="C24" s="110"/>
      <c r="D24" s="112"/>
      <c r="E24" s="112"/>
      <c r="F24" s="112"/>
      <c r="G24" s="5" t="s">
        <v>754</v>
      </c>
      <c r="H24" s="125" t="s">
        <v>301</v>
      </c>
      <c r="I24" s="126">
        <v>0.5</v>
      </c>
      <c r="K24" s="112"/>
      <c r="L24" s="112"/>
      <c r="Z24" s="124">
        <v>774.35185185185185</v>
      </c>
    </row>
    <row r="25" spans="1:26" ht="15.75" customHeight="1">
      <c r="A25" s="1" t="s">
        <v>693</v>
      </c>
      <c r="H25" s="112">
        <v>400</v>
      </c>
      <c r="I25" s="127">
        <f>H25/I24-H25</f>
        <v>400</v>
      </c>
      <c r="J25" s="127">
        <f>SUM(H25:I25)</f>
        <v>800</v>
      </c>
      <c r="Z25" s="124">
        <v>439.57577306414515</v>
      </c>
    </row>
    <row r="26" spans="1:26" ht="15.75" customHeight="1">
      <c r="A26" s="1" t="s">
        <v>834</v>
      </c>
      <c r="G26" s="5" t="s">
        <v>835</v>
      </c>
      <c r="H26" s="128" t="s">
        <v>99</v>
      </c>
      <c r="I26" s="126">
        <v>0.5</v>
      </c>
      <c r="Z26" s="124">
        <v>930.93839953943586</v>
      </c>
    </row>
    <row r="27" spans="1:26" ht="15.75" customHeight="1">
      <c r="A27" s="1" t="s">
        <v>836</v>
      </c>
      <c r="H27" s="112">
        <v>400</v>
      </c>
      <c r="I27" s="127">
        <f>H27/I26-H27</f>
        <v>400</v>
      </c>
      <c r="J27" s="127">
        <f>SUM(H27:I27)</f>
        <v>800</v>
      </c>
      <c r="Z27" s="124">
        <v>585.29299536658493</v>
      </c>
    </row>
    <row r="28" spans="1:26" ht="15.75" customHeight="1">
      <c r="A28" s="1" t="s">
        <v>837</v>
      </c>
      <c r="G28" s="5" t="s">
        <v>838</v>
      </c>
      <c r="H28" s="128" t="s">
        <v>101</v>
      </c>
      <c r="I28" s="126">
        <v>0.5</v>
      </c>
      <c r="Z28" s="124">
        <v>649.63959117805268</v>
      </c>
    </row>
    <row r="29" spans="1:26" ht="15.75" customHeight="1">
      <c r="A29" s="1" t="s">
        <v>839</v>
      </c>
      <c r="H29" s="112">
        <v>400</v>
      </c>
      <c r="I29" s="127">
        <f>H29/I28-H29</f>
        <v>400</v>
      </c>
      <c r="J29" s="127">
        <f>SUM(H29:I29)</f>
        <v>800</v>
      </c>
      <c r="Z29" s="124">
        <v>649.63959117805268</v>
      </c>
    </row>
    <row r="30" spans="1:26" ht="15.75" customHeight="1">
      <c r="A30" s="1" t="s">
        <v>697</v>
      </c>
      <c r="G30" s="5" t="s">
        <v>840</v>
      </c>
      <c r="H30" s="128" t="s">
        <v>103</v>
      </c>
      <c r="I30" s="126">
        <v>0.5</v>
      </c>
      <c r="Z30" s="124">
        <v>1065.7439857439858</v>
      </c>
    </row>
    <row r="31" spans="1:26" ht="15.75" customHeight="1">
      <c r="A31" s="1" t="s">
        <v>758</v>
      </c>
      <c r="H31" s="112">
        <v>400</v>
      </c>
      <c r="I31" s="127">
        <f>H31/I30-H31</f>
        <v>400</v>
      </c>
      <c r="J31" s="127">
        <f>SUM(H31:I31)</f>
        <v>800</v>
      </c>
      <c r="Z31" s="124">
        <v>1040.3775846568776</v>
      </c>
    </row>
    <row r="32" spans="1:26" ht="15.75" customHeight="1">
      <c r="A32" s="1" t="s">
        <v>700</v>
      </c>
      <c r="Z32" s="124">
        <v>827.57361601884577</v>
      </c>
    </row>
    <row r="33" spans="1:26" ht="15.75" customHeight="1">
      <c r="A33" s="1" t="s">
        <v>841</v>
      </c>
      <c r="Z33" s="124">
        <v>763.0277306168648</v>
      </c>
    </row>
    <row r="34" spans="1:26" ht="15.75" customHeight="1">
      <c r="A34" s="1" t="s">
        <v>842</v>
      </c>
      <c r="Z34" s="124">
        <v>461.87196672059162</v>
      </c>
    </row>
    <row r="35" spans="1:26" ht="15.75" customHeight="1">
      <c r="Z35" s="124">
        <v>558.30396475770931</v>
      </c>
    </row>
    <row r="36" spans="1:26" ht="15.75" customHeight="1">
      <c r="A36" s="1" t="s">
        <v>843</v>
      </c>
      <c r="Z36" s="124">
        <v>427.47696139476966</v>
      </c>
    </row>
    <row r="37" spans="1:26" ht="15.75" customHeight="1">
      <c r="A37" s="1" t="s">
        <v>844</v>
      </c>
      <c r="Z37" s="124">
        <v>277.17781058848345</v>
      </c>
    </row>
    <row r="38" spans="1:26" ht="15.75" customHeight="1">
      <c r="A38" s="1" t="s">
        <v>845</v>
      </c>
    </row>
    <row r="39" spans="1:26" ht="12.75">
      <c r="A39" s="1" t="s">
        <v>846</v>
      </c>
    </row>
    <row r="40" spans="1:26" ht="12.75">
      <c r="A40" s="1" t="s">
        <v>847</v>
      </c>
    </row>
    <row r="41" spans="1:26" ht="12.75">
      <c r="A41" s="1"/>
    </row>
    <row r="43" spans="1:26" ht="12.75">
      <c r="A43" s="1"/>
    </row>
    <row r="44" spans="1:26" ht="12.75">
      <c r="A44" s="1"/>
    </row>
    <row r="45" spans="1:26" ht="12.75">
      <c r="A45" s="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B7"/>
  <sheetViews>
    <sheetView workbookViewId="0"/>
  </sheetViews>
  <sheetFormatPr defaultColWidth="14.42578125" defaultRowHeight="15.75" customHeight="1"/>
  <sheetData>
    <row r="5" spans="1:2" ht="15.75" customHeight="1">
      <c r="A5" s="1">
        <v>1000</v>
      </c>
      <c r="B5" s="1" t="s">
        <v>150</v>
      </c>
    </row>
    <row r="6" spans="1:2" ht="15.75" customHeight="1">
      <c r="A6" s="1">
        <v>100</v>
      </c>
      <c r="B6" s="1" t="s">
        <v>848</v>
      </c>
    </row>
    <row r="7" spans="1:2" ht="15.75" customHeight="1">
      <c r="A7">
        <f>A5/A6</f>
        <v>10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workbookViewId="0"/>
  </sheetViews>
  <sheetFormatPr defaultColWidth="14.42578125" defaultRowHeight="15.75" customHeight="1"/>
  <cols>
    <col min="1" max="1" width="17.85546875" customWidth="1"/>
  </cols>
  <sheetData>
    <row r="1" spans="1:17" ht="15.75" customHeight="1">
      <c r="A1" s="1" t="s">
        <v>849</v>
      </c>
      <c r="B1" s="1"/>
      <c r="C1" s="1"/>
    </row>
    <row r="8" spans="1:17" ht="15.75" customHeight="1">
      <c r="C8" s="187" t="s">
        <v>850</v>
      </c>
      <c r="D8" s="186"/>
      <c r="E8" s="186"/>
      <c r="F8" s="187" t="s">
        <v>851</v>
      </c>
      <c r="G8" s="186"/>
      <c r="H8" s="186"/>
      <c r="I8" s="197" t="s">
        <v>852</v>
      </c>
      <c r="J8" s="186"/>
      <c r="K8" s="186"/>
    </row>
    <row r="9" spans="1:17" ht="15.75" customHeight="1">
      <c r="A9" s="142" t="s">
        <v>205</v>
      </c>
      <c r="B9" s="54"/>
      <c r="C9" s="54" t="s">
        <v>853</v>
      </c>
      <c r="D9" s="54" t="s">
        <v>7</v>
      </c>
      <c r="E9" s="54" t="s">
        <v>854</v>
      </c>
      <c r="F9" s="54">
        <v>1</v>
      </c>
      <c r="G9" s="54">
        <v>2</v>
      </c>
      <c r="H9" s="54">
        <v>3</v>
      </c>
      <c r="I9" s="54">
        <v>4</v>
      </c>
      <c r="J9" s="54">
        <v>5</v>
      </c>
      <c r="K9" s="54">
        <v>6</v>
      </c>
      <c r="L9" s="133">
        <v>7</v>
      </c>
      <c r="M9" s="133">
        <v>8</v>
      </c>
      <c r="N9" s="133">
        <v>9</v>
      </c>
      <c r="O9" s="1">
        <v>10</v>
      </c>
      <c r="P9" s="1">
        <v>11</v>
      </c>
      <c r="Q9" s="1">
        <v>12</v>
      </c>
    </row>
    <row r="10" spans="1:17" ht="15.75" customHeight="1">
      <c r="A10" s="54" t="s">
        <v>206</v>
      </c>
      <c r="B10" s="54"/>
      <c r="C10" s="54">
        <v>0.2238</v>
      </c>
      <c r="D10" s="54">
        <v>0.44519999999999998</v>
      </c>
      <c r="E10" s="54">
        <v>0.67179999999999995</v>
      </c>
      <c r="F10" s="54">
        <v>0.2326</v>
      </c>
      <c r="G10" s="54">
        <v>0.46360000000000001</v>
      </c>
      <c r="H10" s="54">
        <v>0.68959999999999999</v>
      </c>
      <c r="I10" s="54">
        <v>0.21940000000000001</v>
      </c>
      <c r="J10" s="54">
        <v>0.44269999999999998</v>
      </c>
      <c r="K10" s="54">
        <v>0.66820000000000002</v>
      </c>
      <c r="L10" s="133">
        <v>0.21840000000000001</v>
      </c>
      <c r="M10" s="133">
        <v>0.44280000000000003</v>
      </c>
      <c r="N10" s="133">
        <v>0.66669999999999996</v>
      </c>
      <c r="O10" s="1">
        <v>0.2228</v>
      </c>
      <c r="P10" s="1">
        <v>0.4456</v>
      </c>
      <c r="Q10" s="1">
        <v>0.66930000000000001</v>
      </c>
    </row>
    <row r="11" spans="1:17" ht="15.75" customHeight="1">
      <c r="A11" s="54" t="s">
        <v>207</v>
      </c>
      <c r="B11" s="59"/>
      <c r="C11" s="55">
        <f>C10</f>
        <v>0.2238</v>
      </c>
      <c r="D11" s="55">
        <f t="shared" ref="D11:E11" si="0">D10-C10</f>
        <v>0.22139999999999999</v>
      </c>
      <c r="E11" s="55">
        <f t="shared" si="0"/>
        <v>0.22659999999999997</v>
      </c>
      <c r="F11" s="55">
        <f>F10</f>
        <v>0.2326</v>
      </c>
      <c r="G11" s="55">
        <f t="shared" ref="G11:H11" si="1">G10-F10</f>
        <v>0.23100000000000001</v>
      </c>
      <c r="H11" s="55">
        <f t="shared" si="1"/>
        <v>0.22599999999999998</v>
      </c>
      <c r="I11" s="55">
        <f>I10</f>
        <v>0.21940000000000001</v>
      </c>
      <c r="J11" s="55">
        <f t="shared" ref="J11:K11" si="2">J10-I10</f>
        <v>0.22329999999999997</v>
      </c>
      <c r="K11" s="55">
        <f t="shared" si="2"/>
        <v>0.22550000000000003</v>
      </c>
      <c r="L11" s="55">
        <f>L10</f>
        <v>0.21840000000000001</v>
      </c>
      <c r="M11" s="55">
        <f t="shared" ref="M11:N11" si="3">M10-L10</f>
        <v>0.22440000000000002</v>
      </c>
      <c r="N11" s="55">
        <f t="shared" si="3"/>
        <v>0.22389999999999993</v>
      </c>
      <c r="O11" s="55">
        <f>O10</f>
        <v>0.2228</v>
      </c>
      <c r="P11" s="55">
        <f t="shared" ref="P11:Q11" si="4">P10-O10</f>
        <v>0.2228</v>
      </c>
      <c r="Q11" s="55">
        <f t="shared" si="4"/>
        <v>0.22370000000000001</v>
      </c>
    </row>
    <row r="12" spans="1:17" ht="15.75" customHeight="1">
      <c r="A12" s="54" t="s">
        <v>208</v>
      </c>
      <c r="B12" s="59"/>
      <c r="C12" s="54">
        <v>0.21310000000000001</v>
      </c>
      <c r="D12" s="54">
        <v>0.4259</v>
      </c>
      <c r="E12" s="54">
        <v>0.64370000000000005</v>
      </c>
      <c r="F12" s="54">
        <v>0.23169999999999999</v>
      </c>
      <c r="G12" s="54">
        <v>0.46500000000000002</v>
      </c>
      <c r="H12" s="54">
        <v>0.69289999999999996</v>
      </c>
      <c r="I12" s="54">
        <v>0.22750000000000001</v>
      </c>
      <c r="J12" s="54">
        <v>0.4602</v>
      </c>
      <c r="K12" s="54">
        <v>0.69589999999999996</v>
      </c>
      <c r="L12" s="30"/>
      <c r="M12" s="30"/>
      <c r="N12" s="30"/>
    </row>
    <row r="13" spans="1:17" ht="15.75" customHeight="1">
      <c r="A13" s="54" t="s">
        <v>209</v>
      </c>
      <c r="B13" s="59"/>
      <c r="C13" s="55">
        <f>C12</f>
        <v>0.21310000000000001</v>
      </c>
      <c r="D13" s="55">
        <f t="shared" ref="D13:E13" si="5">D12-C12</f>
        <v>0.21279999999999999</v>
      </c>
      <c r="E13" s="55">
        <f t="shared" si="5"/>
        <v>0.21780000000000005</v>
      </c>
      <c r="F13" s="54">
        <f>F12</f>
        <v>0.23169999999999999</v>
      </c>
      <c r="G13" s="54">
        <f t="shared" ref="G13:H13" si="6">G12-F12</f>
        <v>0.23330000000000004</v>
      </c>
      <c r="H13" s="54">
        <f t="shared" si="6"/>
        <v>0.22789999999999994</v>
      </c>
      <c r="I13" s="55">
        <f>I12</f>
        <v>0.22750000000000001</v>
      </c>
      <c r="J13" s="55">
        <f t="shared" ref="J13:K13" si="7">J12-I12</f>
        <v>0.23269999999999999</v>
      </c>
      <c r="K13" s="55">
        <f t="shared" si="7"/>
        <v>0.23569999999999997</v>
      </c>
      <c r="L13" s="30" t="e">
        <f>#REF!</f>
        <v>#REF!</v>
      </c>
      <c r="M13" s="30" t="e">
        <f t="shared" ref="M13:N13" si="8">#REF!-#REF!</f>
        <v>#REF!</v>
      </c>
      <c r="N13" s="30" t="e">
        <f t="shared" si="8"/>
        <v>#REF!</v>
      </c>
    </row>
    <row r="14" spans="1:17" ht="15.75" customHeight="1">
      <c r="A14" s="54" t="s">
        <v>157</v>
      </c>
      <c r="B14" s="59"/>
      <c r="C14" s="195">
        <f>AVERAGE(C13:E13)</f>
        <v>0.21456666666666668</v>
      </c>
      <c r="D14" s="186"/>
      <c r="E14" s="186"/>
      <c r="F14" s="195">
        <f>AVERAGE(F13:H13)</f>
        <v>0.23096666666666665</v>
      </c>
      <c r="G14" s="186"/>
      <c r="H14" s="186"/>
      <c r="I14" s="195">
        <f>AVERAGE(I13:K13)</f>
        <v>0.23196666666666665</v>
      </c>
      <c r="J14" s="186"/>
      <c r="K14" s="186"/>
      <c r="L14" s="196" t="e">
        <f>AVERAGE(L13:N13)</f>
        <v>#REF!</v>
      </c>
      <c r="M14" s="186"/>
      <c r="N14" s="186"/>
    </row>
    <row r="17" spans="1:14" ht="15.75" customHeight="1">
      <c r="A17" s="1" t="s">
        <v>855</v>
      </c>
      <c r="E17" s="30"/>
      <c r="F17" s="144" t="s">
        <v>856</v>
      </c>
      <c r="G17" s="26">
        <v>1.8</v>
      </c>
      <c r="H17" s="27"/>
      <c r="I17" s="27"/>
      <c r="J17" s="31" t="s">
        <v>191</v>
      </c>
      <c r="K17" s="27"/>
      <c r="L17" s="30"/>
      <c r="M17" s="30"/>
      <c r="N17" s="30"/>
    </row>
    <row r="18" spans="1:14" ht="15.75" customHeight="1">
      <c r="A18" s="1" t="s">
        <v>857</v>
      </c>
      <c r="E18" s="30"/>
      <c r="F18" s="26" t="s">
        <v>122</v>
      </c>
      <c r="G18" s="26">
        <v>363</v>
      </c>
      <c r="H18" s="26" t="s">
        <v>192</v>
      </c>
      <c r="I18" s="27"/>
      <c r="J18" s="28">
        <f>G27/(G22*1000)*G21</f>
        <v>60.313846153846157</v>
      </c>
      <c r="K18" s="26" t="s">
        <v>133</v>
      </c>
      <c r="L18" s="30"/>
      <c r="M18" s="30"/>
      <c r="N18" s="30"/>
    </row>
    <row r="19" spans="1:14" ht="15.75" customHeight="1">
      <c r="A19" s="1" t="s">
        <v>858</v>
      </c>
      <c r="E19" s="30"/>
      <c r="F19" s="26" t="s">
        <v>194</v>
      </c>
      <c r="G19" s="26">
        <v>2</v>
      </c>
      <c r="H19" s="27"/>
      <c r="I19" s="27"/>
      <c r="J19" s="145" t="s">
        <v>195</v>
      </c>
      <c r="K19" s="27"/>
      <c r="L19" s="30"/>
      <c r="M19" s="30"/>
      <c r="N19" s="30"/>
    </row>
    <row r="20" spans="1:14" ht="15.75" customHeight="1">
      <c r="E20" s="30"/>
      <c r="F20" s="26" t="s">
        <v>129</v>
      </c>
      <c r="G20" s="26">
        <v>100</v>
      </c>
      <c r="H20" s="26" t="s">
        <v>130</v>
      </c>
      <c r="I20" s="27"/>
      <c r="J20" s="28">
        <f>120/1200*J18*0.001</f>
        <v>6.0313846153846164E-3</v>
      </c>
      <c r="K20" s="26" t="s">
        <v>70</v>
      </c>
      <c r="L20" s="30"/>
      <c r="M20" s="30"/>
      <c r="N20" s="30"/>
    </row>
    <row r="21" spans="1:14" ht="15.75" customHeight="1">
      <c r="A21" s="1" t="s">
        <v>859</v>
      </c>
      <c r="B21" s="1"/>
      <c r="C21" s="1">
        <v>1800</v>
      </c>
      <c r="D21" s="1" t="s">
        <v>215</v>
      </c>
      <c r="E21" s="30"/>
      <c r="F21" s="26" t="s">
        <v>132</v>
      </c>
      <c r="G21" s="28">
        <f>G17*G18*G19*G20*0.001</f>
        <v>130.68</v>
      </c>
      <c r="H21" s="26" t="s">
        <v>133</v>
      </c>
      <c r="I21" s="31" t="s">
        <v>198</v>
      </c>
      <c r="J21" s="38">
        <f>(120/1000)/J20</f>
        <v>19.895928986838072</v>
      </c>
      <c r="K21" s="31" t="s">
        <v>135</v>
      </c>
      <c r="L21" s="30"/>
      <c r="M21" s="30"/>
      <c r="N21" s="30"/>
    </row>
    <row r="22" spans="1:14" ht="15.75" customHeight="1">
      <c r="E22" s="30"/>
      <c r="F22" s="26" t="s">
        <v>137</v>
      </c>
      <c r="G22" s="40">
        <v>1.3</v>
      </c>
      <c r="H22" s="26" t="s">
        <v>63</v>
      </c>
      <c r="I22" s="27"/>
      <c r="J22" s="27"/>
      <c r="K22" s="27"/>
      <c r="L22" s="30"/>
      <c r="M22" s="30"/>
      <c r="N22" s="30"/>
    </row>
    <row r="23" spans="1:14" ht="15.75" customHeight="1">
      <c r="E23" s="30"/>
      <c r="F23" s="26" t="s">
        <v>139</v>
      </c>
      <c r="G23" s="26">
        <f>G21/G22</f>
        <v>100.52307692307693</v>
      </c>
      <c r="H23" s="26" t="s">
        <v>140</v>
      </c>
      <c r="I23" s="27"/>
      <c r="J23" s="27"/>
      <c r="K23" s="27"/>
      <c r="L23" s="30"/>
      <c r="M23" s="30"/>
      <c r="N23" s="30"/>
    </row>
    <row r="24" spans="1:14" ht="15.75" customHeight="1">
      <c r="A24" s="133" t="s">
        <v>860</v>
      </c>
      <c r="B24" s="30"/>
      <c r="C24" s="30"/>
      <c r="D24" s="30"/>
      <c r="E24" s="30"/>
      <c r="F24" s="26" t="s">
        <v>202</v>
      </c>
      <c r="G24" s="26">
        <v>0.5</v>
      </c>
      <c r="H24" s="26"/>
      <c r="I24" s="27"/>
      <c r="J24" s="26" t="s">
        <v>203</v>
      </c>
      <c r="K24" s="27"/>
      <c r="L24" s="30"/>
      <c r="M24" s="30"/>
      <c r="N24" s="30"/>
    </row>
    <row r="25" spans="1:14" ht="15.75" customHeight="1">
      <c r="A25" s="133" t="s">
        <v>861</v>
      </c>
      <c r="B25" s="30"/>
      <c r="C25" s="30"/>
      <c r="D25" s="30"/>
      <c r="E25" s="30"/>
      <c r="F25" s="26" t="s">
        <v>146</v>
      </c>
      <c r="G25" s="26">
        <f>G23*G24</f>
        <v>50.261538461538464</v>
      </c>
      <c r="H25" s="26" t="s">
        <v>140</v>
      </c>
      <c r="I25" s="27"/>
      <c r="J25" s="28">
        <f>G25*(120/1000)/1000</f>
        <v>6.0313846153846155E-3</v>
      </c>
      <c r="K25" s="26" t="s">
        <v>70</v>
      </c>
      <c r="L25" s="30"/>
      <c r="M25" s="30"/>
      <c r="N25" s="30"/>
    </row>
    <row r="26" spans="1:14" ht="15.75" customHeight="1">
      <c r="A26" s="133" t="s">
        <v>862</v>
      </c>
      <c r="B26" s="133"/>
      <c r="C26" s="133" t="s">
        <v>863</v>
      </c>
      <c r="D26" s="133" t="s">
        <v>864</v>
      </c>
      <c r="E26" s="30"/>
      <c r="F26" s="26" t="s">
        <v>214</v>
      </c>
      <c r="G26" s="26">
        <v>600</v>
      </c>
      <c r="H26" s="26" t="s">
        <v>215</v>
      </c>
      <c r="I26" s="27"/>
      <c r="J26" s="26" t="s">
        <v>135</v>
      </c>
      <c r="K26" s="27"/>
      <c r="L26" s="30"/>
      <c r="M26" s="30"/>
      <c r="N26" s="30"/>
    </row>
    <row r="27" spans="1:14" ht="15.75" customHeight="1">
      <c r="A27" s="133">
        <v>9</v>
      </c>
      <c r="B27" s="133"/>
      <c r="C27" s="133">
        <v>120</v>
      </c>
      <c r="D27" s="146">
        <f>C27*A27</f>
        <v>1080</v>
      </c>
      <c r="E27" s="30"/>
      <c r="F27" s="26" t="s">
        <v>217</v>
      </c>
      <c r="G27" s="26">
        <v>600</v>
      </c>
      <c r="H27" s="26" t="s">
        <v>215</v>
      </c>
      <c r="I27" s="27"/>
      <c r="J27" s="28">
        <f>(120/1000)/J25</f>
        <v>19.895928986838076</v>
      </c>
      <c r="K27" s="27"/>
      <c r="L27" s="30"/>
      <c r="M27" s="30"/>
      <c r="N27" s="30"/>
    </row>
  </sheetData>
  <mergeCells count="7">
    <mergeCell ref="F14:H14"/>
    <mergeCell ref="C14:E14"/>
    <mergeCell ref="I14:K14"/>
    <mergeCell ref="L14:N14"/>
    <mergeCell ref="F8:H8"/>
    <mergeCell ref="C8:E8"/>
    <mergeCell ref="I8:K8"/>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29"/>
  <sheetViews>
    <sheetView workbookViewId="0"/>
  </sheetViews>
  <sheetFormatPr defaultColWidth="14.42578125" defaultRowHeight="15.75" customHeight="1"/>
  <sheetData>
    <row r="3" spans="1:1" ht="15.75" customHeight="1">
      <c r="A3" s="5" t="s">
        <v>865</v>
      </c>
    </row>
    <row r="4" spans="1:1" ht="15.75" customHeight="1">
      <c r="A4" s="147" t="s">
        <v>866</v>
      </c>
    </row>
    <row r="5" spans="1:1" ht="15.75" customHeight="1">
      <c r="A5" s="1" t="s">
        <v>867</v>
      </c>
    </row>
    <row r="6" spans="1:1" ht="15.75" customHeight="1">
      <c r="A6" s="1" t="s">
        <v>868</v>
      </c>
    </row>
    <row r="8" spans="1:1" ht="15.75" customHeight="1">
      <c r="A8" s="5" t="s">
        <v>869</v>
      </c>
    </row>
    <row r="9" spans="1:1" ht="15.75" customHeight="1">
      <c r="A9" s="147" t="s">
        <v>870</v>
      </c>
    </row>
    <row r="10" spans="1:1" ht="15.75" customHeight="1">
      <c r="A10" s="1" t="s">
        <v>871</v>
      </c>
    </row>
    <row r="11" spans="1:1" ht="15.75" customHeight="1">
      <c r="A11" s="147" t="s">
        <v>866</v>
      </c>
    </row>
    <row r="12" spans="1:1" ht="15.75" customHeight="1">
      <c r="A12" s="1" t="s">
        <v>872</v>
      </c>
    </row>
    <row r="14" spans="1:1" ht="15.75" customHeight="1">
      <c r="A14" s="5" t="s">
        <v>873</v>
      </c>
    </row>
    <row r="15" spans="1:1" ht="15.75" customHeight="1">
      <c r="A15" s="147" t="s">
        <v>870</v>
      </c>
    </row>
    <row r="16" spans="1:1" ht="15.75" customHeight="1">
      <c r="A16" s="1" t="s">
        <v>874</v>
      </c>
    </row>
    <row r="17" spans="1:1" ht="15.75" customHeight="1">
      <c r="A17" s="147" t="s">
        <v>875</v>
      </c>
    </row>
    <row r="18" spans="1:1" ht="15.75" customHeight="1">
      <c r="A18" s="1" t="s">
        <v>876</v>
      </c>
    </row>
    <row r="19" spans="1:1" ht="15.75" customHeight="1">
      <c r="A19" s="1" t="s">
        <v>877</v>
      </c>
    </row>
    <row r="21" spans="1:1" ht="15.75" customHeight="1">
      <c r="A21" s="5" t="s">
        <v>878</v>
      </c>
    </row>
    <row r="22" spans="1:1" ht="15.75" customHeight="1">
      <c r="A22" s="147" t="s">
        <v>870</v>
      </c>
    </row>
    <row r="23" spans="1:1" ht="15.75" customHeight="1">
      <c r="A23" s="1" t="s">
        <v>879</v>
      </c>
    </row>
    <row r="24" spans="1:1" ht="15.75" customHeight="1">
      <c r="A24" s="147" t="s">
        <v>866</v>
      </c>
    </row>
    <row r="25" spans="1:1" ht="15.75" customHeight="1">
      <c r="A25" s="1" t="s">
        <v>880</v>
      </c>
    </row>
    <row r="27" spans="1:1" ht="15.75" customHeight="1">
      <c r="A27" s="5" t="s">
        <v>881</v>
      </c>
    </row>
    <row r="28" spans="1:1" ht="15.75" customHeight="1">
      <c r="A28" s="147" t="s">
        <v>870</v>
      </c>
    </row>
    <row r="29" spans="1:1" ht="15.75" customHeight="1">
      <c r="A29" s="1" t="s">
        <v>882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sheetViews>
  <sheetFormatPr defaultColWidth="14.42578125" defaultRowHeight="15.75" customHeight="1"/>
  <cols>
    <col min="8" max="8" width="15.28515625" customWidth="1"/>
  </cols>
  <sheetData>
    <row r="1" spans="1:28" ht="15.75" customHeight="1">
      <c r="A1" s="114" t="s">
        <v>1</v>
      </c>
      <c r="B1" s="110" t="s">
        <v>658</v>
      </c>
      <c r="C1" s="114" t="s">
        <v>659</v>
      </c>
      <c r="D1" s="114" t="s">
        <v>660</v>
      </c>
      <c r="E1" s="114" t="s">
        <v>661</v>
      </c>
      <c r="F1" s="110" t="s">
        <v>662</v>
      </c>
      <c r="G1" s="114" t="s">
        <v>97</v>
      </c>
      <c r="H1" s="110" t="s">
        <v>585</v>
      </c>
      <c r="I1" s="114" t="s">
        <v>664</v>
      </c>
      <c r="J1" s="114" t="s">
        <v>665</v>
      </c>
      <c r="K1" s="114" t="s">
        <v>666</v>
      </c>
      <c r="L1" s="114" t="s">
        <v>667</v>
      </c>
      <c r="N1" s="114"/>
      <c r="O1" s="1" t="s">
        <v>6</v>
      </c>
      <c r="P1" s="1" t="s">
        <v>7</v>
      </c>
      <c r="Q1" s="1" t="s">
        <v>8</v>
      </c>
      <c r="R1" s="1" t="s">
        <v>9</v>
      </c>
      <c r="S1" s="1" t="s">
        <v>10</v>
      </c>
      <c r="T1" s="103" t="s">
        <v>11</v>
      </c>
      <c r="U1" s="103" t="s">
        <v>397</v>
      </c>
      <c r="V1" s="1" t="s">
        <v>6</v>
      </c>
      <c r="W1" s="1" t="s">
        <v>7</v>
      </c>
      <c r="X1" s="1" t="s">
        <v>8</v>
      </c>
      <c r="Y1" s="1" t="s">
        <v>9</v>
      </c>
      <c r="Z1" s="1" t="s">
        <v>10</v>
      </c>
      <c r="AA1" s="103" t="s">
        <v>11</v>
      </c>
      <c r="AB1" s="103" t="s">
        <v>397</v>
      </c>
    </row>
    <row r="2" spans="1:28" ht="15.75" customHeight="1">
      <c r="A2" s="1"/>
      <c r="AB2" s="1">
        <v>340</v>
      </c>
    </row>
    <row r="3" spans="1:28" ht="15.75" customHeight="1">
      <c r="A3" s="110" t="s">
        <v>17</v>
      </c>
      <c r="B3" s="110" t="s">
        <v>669</v>
      </c>
      <c r="C3" s="110" t="s">
        <v>832</v>
      </c>
      <c r="D3" s="111">
        <v>4</v>
      </c>
      <c r="E3" s="127">
        <f t="shared" ref="E3:E5" si="0">D3+J3/1000</f>
        <v>4.12</v>
      </c>
      <c r="F3" s="112">
        <v>0</v>
      </c>
      <c r="G3" s="112">
        <v>1</v>
      </c>
      <c r="H3" s="112" t="s">
        <v>883</v>
      </c>
      <c r="I3" s="111">
        <v>10</v>
      </c>
      <c r="J3" s="112">
        <v>120</v>
      </c>
      <c r="K3" s="112">
        <v>10</v>
      </c>
      <c r="L3" s="112">
        <v>50</v>
      </c>
      <c r="N3" s="110" t="s">
        <v>17</v>
      </c>
      <c r="O3" s="123">
        <v>13210</v>
      </c>
      <c r="P3" s="123">
        <v>0</v>
      </c>
      <c r="Q3" s="123">
        <v>389</v>
      </c>
      <c r="R3" s="123">
        <v>760</v>
      </c>
      <c r="S3" s="1">
        <v>203</v>
      </c>
      <c r="T3">
        <f t="shared" ref="T3:T18" si="1">$U$19/Q3*R3</f>
        <v>664.26735218508998</v>
      </c>
      <c r="V3" s="1">
        <v>13645.5</v>
      </c>
      <c r="W3" s="1">
        <v>0</v>
      </c>
      <c r="X3" s="1">
        <v>412.7</v>
      </c>
      <c r="Y3" s="1">
        <v>492.3</v>
      </c>
      <c r="Z3" s="1">
        <v>296.39999999999998</v>
      </c>
      <c r="AA3">
        <f t="shared" ref="AA3:AA18" si="2">$AB$2/X3*Y3</f>
        <v>405.57790162345532</v>
      </c>
    </row>
    <row r="4" spans="1:28" ht="15.75" customHeight="1">
      <c r="A4" s="110" t="s">
        <v>18</v>
      </c>
      <c r="B4" s="110" t="s">
        <v>669</v>
      </c>
      <c r="C4" s="110" t="s">
        <v>832</v>
      </c>
      <c r="D4" s="111">
        <v>4</v>
      </c>
      <c r="E4" s="127">
        <f t="shared" si="0"/>
        <v>4.12</v>
      </c>
      <c r="F4" s="112">
        <v>0</v>
      </c>
      <c r="G4" s="112">
        <v>1</v>
      </c>
      <c r="H4" s="112" t="s">
        <v>883</v>
      </c>
      <c r="I4" s="111">
        <v>10</v>
      </c>
      <c r="J4" s="112">
        <v>120</v>
      </c>
      <c r="K4" s="112">
        <v>10</v>
      </c>
      <c r="L4" s="112">
        <v>50</v>
      </c>
      <c r="N4" s="110" t="s">
        <v>18</v>
      </c>
      <c r="O4" s="123">
        <v>13151</v>
      </c>
      <c r="P4" s="123">
        <v>0</v>
      </c>
      <c r="Q4" s="123">
        <v>368</v>
      </c>
      <c r="R4" s="123">
        <v>766</v>
      </c>
      <c r="S4" s="1">
        <v>201</v>
      </c>
      <c r="T4">
        <f t="shared" si="1"/>
        <v>707.71739130434787</v>
      </c>
      <c r="V4" s="1">
        <v>13450.3</v>
      </c>
      <c r="W4" s="1">
        <v>0</v>
      </c>
      <c r="X4" s="1">
        <v>414.9</v>
      </c>
      <c r="Y4" s="1">
        <v>545.9</v>
      </c>
      <c r="Z4" s="1">
        <v>278.10000000000002</v>
      </c>
      <c r="AA4">
        <f t="shared" si="2"/>
        <v>447.35116895637503</v>
      </c>
    </row>
    <row r="5" spans="1:28" ht="15.75" customHeight="1">
      <c r="A5" s="110" t="s">
        <v>19</v>
      </c>
      <c r="B5" s="110" t="s">
        <v>669</v>
      </c>
      <c r="C5" s="110" t="s">
        <v>832</v>
      </c>
      <c r="D5" s="111">
        <v>4</v>
      </c>
      <c r="E5" s="127">
        <f t="shared" si="0"/>
        <v>4.12</v>
      </c>
      <c r="F5" s="112">
        <v>11</v>
      </c>
      <c r="G5" s="112">
        <v>1</v>
      </c>
      <c r="H5" s="112" t="s">
        <v>883</v>
      </c>
      <c r="I5" s="111">
        <v>10</v>
      </c>
      <c r="J5" s="112">
        <v>120</v>
      </c>
      <c r="K5" s="112">
        <v>10</v>
      </c>
      <c r="L5" s="112">
        <v>50</v>
      </c>
      <c r="N5" s="110" t="s">
        <v>19</v>
      </c>
      <c r="O5" s="1">
        <v>12869</v>
      </c>
      <c r="P5" s="123">
        <v>0</v>
      </c>
      <c r="Q5" s="1">
        <v>372</v>
      </c>
      <c r="R5" s="1">
        <v>784</v>
      </c>
      <c r="S5" s="1">
        <v>185</v>
      </c>
      <c r="T5">
        <f t="shared" si="1"/>
        <v>716.55913978494618</v>
      </c>
      <c r="V5" s="1">
        <v>13223</v>
      </c>
      <c r="W5" s="1">
        <v>0</v>
      </c>
      <c r="X5" s="1">
        <v>403.4</v>
      </c>
      <c r="Y5" s="1">
        <v>482.1</v>
      </c>
      <c r="Z5" s="1">
        <v>287.89999999999998</v>
      </c>
      <c r="AA5">
        <f t="shared" si="2"/>
        <v>406.3311849281111</v>
      </c>
    </row>
    <row r="6" spans="1:28" ht="15.75" customHeight="1">
      <c r="A6" s="110" t="s">
        <v>20</v>
      </c>
      <c r="B6" s="110" t="s">
        <v>669</v>
      </c>
      <c r="C6" s="110" t="s">
        <v>832</v>
      </c>
      <c r="D6" s="112">
        <v>4</v>
      </c>
      <c r="E6" s="112">
        <v>4.12</v>
      </c>
      <c r="F6" s="112">
        <v>11</v>
      </c>
      <c r="G6" s="112">
        <v>1</v>
      </c>
      <c r="H6" s="112" t="s">
        <v>883</v>
      </c>
      <c r="I6" s="111">
        <v>10</v>
      </c>
      <c r="J6" s="112">
        <v>120</v>
      </c>
      <c r="K6" s="112">
        <v>10</v>
      </c>
      <c r="L6" s="112">
        <v>50</v>
      </c>
      <c r="N6" s="110" t="s">
        <v>20</v>
      </c>
      <c r="O6" s="1">
        <v>12599</v>
      </c>
      <c r="P6" s="123">
        <v>0</v>
      </c>
      <c r="Q6" s="1">
        <v>345</v>
      </c>
      <c r="R6" s="1">
        <v>934</v>
      </c>
      <c r="S6" s="1">
        <v>137</v>
      </c>
      <c r="T6">
        <f t="shared" si="1"/>
        <v>920.46376811594212</v>
      </c>
      <c r="V6" s="1">
        <v>13213.2</v>
      </c>
      <c r="W6" s="1">
        <v>0</v>
      </c>
      <c r="X6" s="1">
        <v>375.2</v>
      </c>
      <c r="Y6" s="1">
        <v>623.70000000000005</v>
      </c>
      <c r="Z6" s="1">
        <v>222.4</v>
      </c>
      <c r="AA6">
        <f t="shared" si="2"/>
        <v>565.18656716417922</v>
      </c>
    </row>
    <row r="7" spans="1:28" ht="15.75" customHeight="1">
      <c r="A7" s="110" t="s">
        <v>21</v>
      </c>
      <c r="B7" s="110" t="s">
        <v>669</v>
      </c>
      <c r="C7" s="110" t="s">
        <v>832</v>
      </c>
      <c r="D7" s="112">
        <v>4</v>
      </c>
      <c r="E7" s="112">
        <v>4.12</v>
      </c>
      <c r="F7" s="112">
        <v>29</v>
      </c>
      <c r="G7" s="112">
        <v>1</v>
      </c>
      <c r="H7" s="112" t="s">
        <v>883</v>
      </c>
      <c r="I7" s="111">
        <v>10</v>
      </c>
      <c r="J7" s="112">
        <v>120</v>
      </c>
      <c r="K7" s="112">
        <v>10</v>
      </c>
      <c r="L7" s="112">
        <v>50</v>
      </c>
      <c r="N7" s="110" t="s">
        <v>21</v>
      </c>
      <c r="O7" s="1">
        <v>13006</v>
      </c>
      <c r="P7" s="123">
        <v>0</v>
      </c>
      <c r="Q7" s="1">
        <v>367</v>
      </c>
      <c r="R7" s="1">
        <v>751</v>
      </c>
      <c r="S7" s="1">
        <v>198</v>
      </c>
      <c r="T7">
        <f t="shared" si="1"/>
        <v>695.74931880108988</v>
      </c>
      <c r="V7" s="1">
        <v>13505.8</v>
      </c>
      <c r="W7" s="1">
        <v>0</v>
      </c>
      <c r="X7" s="1">
        <v>408.8</v>
      </c>
      <c r="Y7" s="1">
        <v>426.4</v>
      </c>
      <c r="Z7" s="1">
        <v>310.2</v>
      </c>
      <c r="AA7">
        <f t="shared" si="2"/>
        <v>354.63796477495106</v>
      </c>
    </row>
    <row r="8" spans="1:28" ht="15.75" customHeight="1">
      <c r="A8" s="110" t="s">
        <v>22</v>
      </c>
      <c r="B8" s="110" t="s">
        <v>669</v>
      </c>
      <c r="C8" s="110" t="s">
        <v>832</v>
      </c>
      <c r="D8" s="112">
        <v>4</v>
      </c>
      <c r="E8" s="112">
        <v>4.12</v>
      </c>
      <c r="F8" s="112">
        <v>29</v>
      </c>
      <c r="G8" s="112">
        <v>1</v>
      </c>
      <c r="H8" s="112" t="s">
        <v>883</v>
      </c>
      <c r="I8" s="111">
        <v>10</v>
      </c>
      <c r="J8" s="112">
        <v>120</v>
      </c>
      <c r="K8" s="112">
        <v>10</v>
      </c>
      <c r="L8" s="112">
        <v>50</v>
      </c>
      <c r="N8" s="110" t="s">
        <v>22</v>
      </c>
      <c r="O8" s="1">
        <v>12836</v>
      </c>
      <c r="P8" s="123">
        <v>0</v>
      </c>
      <c r="Q8" s="1">
        <v>343</v>
      </c>
      <c r="R8" s="1">
        <v>800</v>
      </c>
      <c r="S8" s="1">
        <v>169</v>
      </c>
      <c r="T8">
        <f t="shared" si="1"/>
        <v>793.00291545189509</v>
      </c>
      <c r="V8" s="1">
        <v>13708.7</v>
      </c>
      <c r="W8" s="1">
        <v>0</v>
      </c>
      <c r="X8" s="1">
        <v>387.8</v>
      </c>
      <c r="Y8" s="1">
        <v>422.3</v>
      </c>
      <c r="Z8" s="1">
        <v>299.2</v>
      </c>
      <c r="AA8">
        <f t="shared" si="2"/>
        <v>370.24755028365138</v>
      </c>
    </row>
    <row r="9" spans="1:28" ht="15.75" customHeight="1">
      <c r="A9" s="110" t="s">
        <v>23</v>
      </c>
      <c r="B9" s="110" t="s">
        <v>675</v>
      </c>
      <c r="C9" s="110" t="s">
        <v>832</v>
      </c>
      <c r="D9" s="111">
        <v>4</v>
      </c>
      <c r="E9" s="127">
        <f>D9+J9/1000</f>
        <v>4.12</v>
      </c>
      <c r="F9" s="112">
        <v>0</v>
      </c>
      <c r="G9" s="112">
        <v>2</v>
      </c>
      <c r="H9" s="112" t="s">
        <v>883</v>
      </c>
      <c r="I9" s="111">
        <v>10</v>
      </c>
      <c r="J9" s="112">
        <v>120</v>
      </c>
      <c r="K9" s="112">
        <v>10</v>
      </c>
      <c r="L9" s="112">
        <v>50</v>
      </c>
      <c r="N9" s="110" t="s">
        <v>23</v>
      </c>
      <c r="O9" s="123">
        <v>12011</v>
      </c>
      <c r="P9" s="123">
        <v>0</v>
      </c>
      <c r="Q9" s="123">
        <v>335</v>
      </c>
      <c r="R9" s="123">
        <v>1054</v>
      </c>
      <c r="S9" s="1">
        <v>75</v>
      </c>
      <c r="T9">
        <f t="shared" si="1"/>
        <v>1069.7313432835822</v>
      </c>
      <c r="V9" s="1">
        <v>12378.3</v>
      </c>
      <c r="W9" s="1">
        <v>0</v>
      </c>
      <c r="X9" s="1">
        <v>333.7</v>
      </c>
      <c r="Y9" s="1">
        <v>954.8</v>
      </c>
      <c r="Z9" s="1">
        <v>114.6</v>
      </c>
      <c r="AA9">
        <f t="shared" si="2"/>
        <v>972.82589151932882</v>
      </c>
    </row>
    <row r="10" spans="1:28" ht="15.75" customHeight="1">
      <c r="A10" s="110" t="s">
        <v>24</v>
      </c>
      <c r="B10" s="110" t="s">
        <v>675</v>
      </c>
      <c r="C10" s="110" t="s">
        <v>832</v>
      </c>
      <c r="D10" s="112">
        <v>4</v>
      </c>
      <c r="E10" s="112">
        <v>4.12</v>
      </c>
      <c r="F10" s="112">
        <v>11</v>
      </c>
      <c r="G10" s="112">
        <v>2</v>
      </c>
      <c r="H10" s="112" t="s">
        <v>883</v>
      </c>
      <c r="I10" s="111">
        <v>10</v>
      </c>
      <c r="J10" s="112">
        <v>120</v>
      </c>
      <c r="K10" s="112">
        <v>10</v>
      </c>
      <c r="L10" s="112">
        <v>50</v>
      </c>
      <c r="N10" s="110" t="s">
        <v>24</v>
      </c>
      <c r="O10" s="1">
        <v>11761</v>
      </c>
      <c r="P10" s="123">
        <v>0</v>
      </c>
      <c r="Q10" s="1">
        <v>377</v>
      </c>
      <c r="R10" s="1">
        <v>920</v>
      </c>
      <c r="S10" s="1">
        <v>104</v>
      </c>
      <c r="T10">
        <f t="shared" si="1"/>
        <v>829.70822281167113</v>
      </c>
      <c r="V10" s="1">
        <v>12176.6</v>
      </c>
      <c r="W10" s="1">
        <v>0</v>
      </c>
      <c r="X10" s="1">
        <v>409.4</v>
      </c>
      <c r="Y10" s="1">
        <v>751.9</v>
      </c>
      <c r="Z10" s="1">
        <v>164.8</v>
      </c>
      <c r="AA10">
        <f t="shared" si="2"/>
        <v>624.44064484611636</v>
      </c>
    </row>
    <row r="11" spans="1:28" ht="15.75" customHeight="1">
      <c r="A11" s="110" t="s">
        <v>25</v>
      </c>
      <c r="B11" s="110" t="s">
        <v>675</v>
      </c>
      <c r="C11" s="110" t="s">
        <v>832</v>
      </c>
      <c r="D11" s="112">
        <v>4</v>
      </c>
      <c r="E11" s="112">
        <v>4.12</v>
      </c>
      <c r="F11" s="112">
        <v>29</v>
      </c>
      <c r="G11" s="112">
        <v>2</v>
      </c>
      <c r="H11" s="112" t="s">
        <v>883</v>
      </c>
      <c r="I11" s="111">
        <v>10</v>
      </c>
      <c r="J11" s="112">
        <v>120</v>
      </c>
      <c r="K11" s="112">
        <v>10</v>
      </c>
      <c r="L11" s="112">
        <v>50</v>
      </c>
      <c r="N11" s="110" t="s">
        <v>25</v>
      </c>
      <c r="O11" s="1">
        <v>11636</v>
      </c>
      <c r="P11" s="123">
        <v>0</v>
      </c>
      <c r="Q11" s="1">
        <v>328</v>
      </c>
      <c r="R11" s="1">
        <v>1120</v>
      </c>
      <c r="S11" s="1">
        <v>60</v>
      </c>
      <c r="T11">
        <f t="shared" si="1"/>
        <v>1160.9756097560976</v>
      </c>
      <c r="V11" s="1">
        <v>11857.7</v>
      </c>
      <c r="W11" s="1">
        <v>0</v>
      </c>
      <c r="X11" s="1">
        <v>332.6</v>
      </c>
      <c r="Y11" s="1">
        <v>1023.8</v>
      </c>
      <c r="Z11" s="1">
        <v>83.2</v>
      </c>
      <c r="AA11">
        <f t="shared" si="2"/>
        <v>1046.5784726398076</v>
      </c>
    </row>
    <row r="12" spans="1:28" ht="15.75" customHeight="1">
      <c r="A12" s="110" t="s">
        <v>26</v>
      </c>
      <c r="B12" s="110" t="s">
        <v>675</v>
      </c>
      <c r="C12" s="110" t="s">
        <v>832</v>
      </c>
      <c r="D12" s="112">
        <v>4</v>
      </c>
      <c r="E12" s="112">
        <v>4.12</v>
      </c>
      <c r="F12" s="112">
        <v>29</v>
      </c>
      <c r="G12" s="112">
        <v>2</v>
      </c>
      <c r="H12" s="112" t="s">
        <v>883</v>
      </c>
      <c r="I12" s="111">
        <v>10</v>
      </c>
      <c r="J12" s="112">
        <v>120</v>
      </c>
      <c r="K12" s="112">
        <v>10</v>
      </c>
      <c r="L12" s="112">
        <v>50</v>
      </c>
      <c r="N12" s="110" t="s">
        <v>26</v>
      </c>
      <c r="O12" s="1">
        <v>11975</v>
      </c>
      <c r="P12" s="123">
        <v>0</v>
      </c>
      <c r="Q12" s="1">
        <v>325</v>
      </c>
      <c r="R12" s="1">
        <v>1057</v>
      </c>
      <c r="S12" s="1">
        <v>83</v>
      </c>
      <c r="T12">
        <f t="shared" si="1"/>
        <v>1105.7846153846153</v>
      </c>
      <c r="V12" s="1">
        <v>11857.7</v>
      </c>
      <c r="W12" s="1">
        <v>0</v>
      </c>
      <c r="X12" s="1">
        <v>332.6</v>
      </c>
      <c r="Y12" s="1">
        <v>1023.8</v>
      </c>
      <c r="Z12" s="1">
        <v>83.2</v>
      </c>
      <c r="AA12">
        <f t="shared" si="2"/>
        <v>1046.5784726398076</v>
      </c>
    </row>
    <row r="13" spans="1:28" ht="15.75" customHeight="1">
      <c r="A13" s="110" t="s">
        <v>27</v>
      </c>
      <c r="B13" s="1" t="s">
        <v>678</v>
      </c>
      <c r="C13" s="110" t="s">
        <v>832</v>
      </c>
      <c r="D13" s="111">
        <v>4</v>
      </c>
      <c r="E13" s="127">
        <f t="shared" ref="E13:E18" si="3">D13+J13/1000</f>
        <v>4.12</v>
      </c>
      <c r="F13" s="112">
        <v>0</v>
      </c>
      <c r="G13" s="112">
        <v>3</v>
      </c>
      <c r="H13" s="112" t="s">
        <v>883</v>
      </c>
      <c r="I13" s="111">
        <v>10</v>
      </c>
      <c r="J13" s="112">
        <v>120</v>
      </c>
      <c r="K13" s="112">
        <v>10</v>
      </c>
      <c r="L13" s="112">
        <v>50</v>
      </c>
      <c r="N13" s="110" t="s">
        <v>27</v>
      </c>
      <c r="O13" s="103">
        <v>11348</v>
      </c>
      <c r="P13" s="123">
        <v>0</v>
      </c>
      <c r="Q13" s="103">
        <v>310</v>
      </c>
      <c r="R13" s="103">
        <v>1228</v>
      </c>
      <c r="S13" s="1">
        <v>0</v>
      </c>
      <c r="T13">
        <f t="shared" si="1"/>
        <v>1346.8387096774193</v>
      </c>
      <c r="V13" s="1">
        <v>11361.1</v>
      </c>
      <c r="W13" s="1">
        <v>0</v>
      </c>
      <c r="X13" s="1">
        <v>304.89999999999998</v>
      </c>
      <c r="Y13" s="1">
        <v>1207.3</v>
      </c>
      <c r="Z13" s="1">
        <v>0</v>
      </c>
      <c r="AA13">
        <f t="shared" si="2"/>
        <v>1346.2840275500164</v>
      </c>
    </row>
    <row r="14" spans="1:28" ht="15.75" customHeight="1">
      <c r="A14" s="110" t="s">
        <v>28</v>
      </c>
      <c r="B14" s="1" t="s">
        <v>678</v>
      </c>
      <c r="C14" s="110" t="s">
        <v>832</v>
      </c>
      <c r="D14" s="111">
        <v>4</v>
      </c>
      <c r="E14" s="127">
        <f t="shared" si="3"/>
        <v>4.12</v>
      </c>
      <c r="F14" s="112">
        <v>0</v>
      </c>
      <c r="G14" s="112">
        <v>3</v>
      </c>
      <c r="H14" s="112" t="s">
        <v>883</v>
      </c>
      <c r="I14" s="111">
        <v>10</v>
      </c>
      <c r="J14" s="112">
        <v>120</v>
      </c>
      <c r="K14" s="112">
        <v>10</v>
      </c>
      <c r="L14" s="112">
        <v>50</v>
      </c>
      <c r="N14" s="110" t="s">
        <v>28</v>
      </c>
      <c r="O14" s="103">
        <v>11261</v>
      </c>
      <c r="P14" s="123">
        <v>0</v>
      </c>
      <c r="Q14" s="1">
        <v>317</v>
      </c>
      <c r="R14" s="1">
        <v>1220</v>
      </c>
      <c r="S14" s="1">
        <v>0</v>
      </c>
      <c r="T14">
        <f t="shared" si="1"/>
        <v>1308.5173501577287</v>
      </c>
      <c r="V14" s="1">
        <v>11369.1</v>
      </c>
      <c r="W14" s="1">
        <v>0</v>
      </c>
      <c r="X14" s="1">
        <v>305.39999999999998</v>
      </c>
      <c r="Y14" s="1">
        <v>1187.0999999999999</v>
      </c>
      <c r="Z14" s="1">
        <v>0</v>
      </c>
      <c r="AA14">
        <f t="shared" si="2"/>
        <v>1321.5913555992142</v>
      </c>
    </row>
    <row r="15" spans="1:28" ht="15.75" customHeight="1">
      <c r="A15" s="110" t="s">
        <v>29</v>
      </c>
      <c r="B15" s="1" t="s">
        <v>678</v>
      </c>
      <c r="C15" s="110" t="s">
        <v>832</v>
      </c>
      <c r="D15" s="111">
        <v>4</v>
      </c>
      <c r="E15" s="127">
        <f t="shared" si="3"/>
        <v>4.12</v>
      </c>
      <c r="F15" s="112">
        <v>11</v>
      </c>
      <c r="G15" s="112">
        <v>3</v>
      </c>
      <c r="H15" s="112" t="s">
        <v>883</v>
      </c>
      <c r="I15" s="111">
        <v>10</v>
      </c>
      <c r="J15" s="112">
        <v>120</v>
      </c>
      <c r="K15" s="112">
        <v>10</v>
      </c>
      <c r="L15" s="112">
        <v>50</v>
      </c>
      <c r="N15" s="110" t="s">
        <v>29</v>
      </c>
      <c r="O15" s="1">
        <v>10978</v>
      </c>
      <c r="P15" s="123">
        <v>0</v>
      </c>
      <c r="Q15" s="1">
        <v>314</v>
      </c>
      <c r="R15" s="1">
        <v>1217</v>
      </c>
      <c r="S15" s="1">
        <v>0</v>
      </c>
      <c r="T15">
        <f t="shared" si="1"/>
        <v>1317.7707006369426</v>
      </c>
      <c r="V15" s="1">
        <v>11016.6</v>
      </c>
      <c r="W15" s="1">
        <v>0</v>
      </c>
      <c r="X15" s="1">
        <v>303.60000000000002</v>
      </c>
      <c r="Y15" s="1">
        <v>1196.3</v>
      </c>
      <c r="Z15" s="1">
        <v>0</v>
      </c>
      <c r="AA15">
        <f t="shared" si="2"/>
        <v>1339.7299077733858</v>
      </c>
    </row>
    <row r="16" spans="1:28" ht="15.75" customHeight="1">
      <c r="A16" s="110" t="s">
        <v>30</v>
      </c>
      <c r="B16" s="1" t="s">
        <v>678</v>
      </c>
      <c r="C16" s="110" t="s">
        <v>832</v>
      </c>
      <c r="D16" s="111">
        <v>4</v>
      </c>
      <c r="E16" s="127">
        <f t="shared" si="3"/>
        <v>4.12</v>
      </c>
      <c r="F16" s="112">
        <v>11</v>
      </c>
      <c r="G16" s="112">
        <v>3</v>
      </c>
      <c r="H16" s="112" t="s">
        <v>883</v>
      </c>
      <c r="I16" s="111">
        <v>10</v>
      </c>
      <c r="J16" s="112">
        <v>120</v>
      </c>
      <c r="K16" s="112">
        <v>10</v>
      </c>
      <c r="L16" s="112">
        <v>50</v>
      </c>
      <c r="N16" s="110" t="s">
        <v>30</v>
      </c>
      <c r="O16" s="1">
        <v>11328</v>
      </c>
      <c r="P16" s="123">
        <v>0</v>
      </c>
      <c r="Q16" s="1">
        <v>304</v>
      </c>
      <c r="R16" s="1">
        <v>1228</v>
      </c>
      <c r="S16" s="1">
        <v>0</v>
      </c>
      <c r="T16">
        <f t="shared" si="1"/>
        <v>1373.421052631579</v>
      </c>
      <c r="V16" s="1">
        <v>11351</v>
      </c>
      <c r="W16" s="1">
        <v>0</v>
      </c>
      <c r="X16" s="1">
        <v>299</v>
      </c>
      <c r="Y16" s="1">
        <v>1209.0999999999999</v>
      </c>
      <c r="Z16" s="1">
        <v>0</v>
      </c>
      <c r="AA16">
        <f t="shared" si="2"/>
        <v>1374.8963210702339</v>
      </c>
    </row>
    <row r="17" spans="1:27" ht="15.75" customHeight="1">
      <c r="A17" s="110" t="s">
        <v>31</v>
      </c>
      <c r="B17" s="1" t="s">
        <v>678</v>
      </c>
      <c r="C17" s="110" t="s">
        <v>832</v>
      </c>
      <c r="D17" s="111">
        <v>4</v>
      </c>
      <c r="E17" s="127">
        <f t="shared" si="3"/>
        <v>4.12</v>
      </c>
      <c r="F17" s="112">
        <v>29</v>
      </c>
      <c r="G17" s="112">
        <v>3</v>
      </c>
      <c r="H17" s="112" t="s">
        <v>883</v>
      </c>
      <c r="I17" s="111">
        <v>10</v>
      </c>
      <c r="J17" s="112">
        <v>120</v>
      </c>
      <c r="K17" s="112">
        <v>10</v>
      </c>
      <c r="L17" s="112">
        <v>50</v>
      </c>
      <c r="N17" s="110" t="s">
        <v>31</v>
      </c>
      <c r="O17" s="1">
        <v>11086</v>
      </c>
      <c r="P17" s="123">
        <v>0</v>
      </c>
      <c r="Q17" s="1">
        <v>307</v>
      </c>
      <c r="R17" s="1">
        <v>1198</v>
      </c>
      <c r="S17" s="1">
        <v>0</v>
      </c>
      <c r="T17">
        <f t="shared" si="1"/>
        <v>1326.7752442996743</v>
      </c>
      <c r="V17" s="1">
        <v>11360.9</v>
      </c>
      <c r="W17" s="1">
        <v>0</v>
      </c>
      <c r="X17" s="1">
        <v>305.60000000000002</v>
      </c>
      <c r="Y17" s="1">
        <v>1206.5</v>
      </c>
      <c r="Z17" s="1">
        <v>0</v>
      </c>
      <c r="AA17">
        <f t="shared" si="2"/>
        <v>1342.3102094240837</v>
      </c>
    </row>
    <row r="18" spans="1:27" ht="15.75" customHeight="1">
      <c r="A18" s="110" t="s">
        <v>32</v>
      </c>
      <c r="B18" s="1" t="s">
        <v>678</v>
      </c>
      <c r="C18" s="110" t="s">
        <v>832</v>
      </c>
      <c r="D18" s="111">
        <v>4</v>
      </c>
      <c r="E18" s="127">
        <f t="shared" si="3"/>
        <v>4.12</v>
      </c>
      <c r="F18" s="112">
        <v>29</v>
      </c>
      <c r="G18" s="112">
        <v>3</v>
      </c>
      <c r="H18" s="112" t="s">
        <v>883</v>
      </c>
      <c r="I18" s="111">
        <v>10</v>
      </c>
      <c r="J18" s="112">
        <v>120</v>
      </c>
      <c r="K18" s="112">
        <v>10</v>
      </c>
      <c r="L18" s="112">
        <v>50</v>
      </c>
      <c r="N18" s="1" t="s">
        <v>32</v>
      </c>
      <c r="O18" s="1">
        <v>11214</v>
      </c>
      <c r="P18" s="123">
        <v>0</v>
      </c>
      <c r="Q18" s="1">
        <v>311</v>
      </c>
      <c r="R18" s="1">
        <v>1229</v>
      </c>
      <c r="S18" s="1">
        <v>0</v>
      </c>
      <c r="T18">
        <f t="shared" si="1"/>
        <v>1343.6012861736333</v>
      </c>
      <c r="V18" s="1">
        <v>11389.7</v>
      </c>
      <c r="W18" s="1">
        <v>0</v>
      </c>
      <c r="X18" s="1">
        <v>308.3</v>
      </c>
      <c r="Y18" s="1">
        <v>1216.9000000000001</v>
      </c>
      <c r="Z18" s="1">
        <v>0</v>
      </c>
      <c r="AA18">
        <f t="shared" si="2"/>
        <v>1342.0240025948754</v>
      </c>
    </row>
    <row r="19" spans="1:27" ht="15.75" customHeight="1">
      <c r="A19" s="110"/>
      <c r="B19" s="1"/>
      <c r="C19" s="110"/>
      <c r="D19" s="112"/>
      <c r="E19" s="112"/>
      <c r="F19" s="112"/>
      <c r="G19" s="112"/>
      <c r="H19" s="112"/>
      <c r="I19" s="112"/>
      <c r="J19" s="112"/>
      <c r="K19" s="112"/>
      <c r="L19" s="112"/>
      <c r="N19" s="1" t="s">
        <v>884</v>
      </c>
      <c r="O19" s="1"/>
      <c r="U19" s="103">
        <v>340</v>
      </c>
      <c r="V19" s="1" t="s">
        <v>885</v>
      </c>
    </row>
    <row r="20" spans="1:27" ht="15.75" customHeight="1">
      <c r="A20" s="110"/>
      <c r="B20" s="1"/>
      <c r="C20" s="110"/>
      <c r="D20" s="112"/>
      <c r="E20" s="112"/>
      <c r="F20" s="112"/>
      <c r="G20" s="112"/>
      <c r="H20" s="112"/>
      <c r="I20" s="112"/>
      <c r="J20" s="112"/>
      <c r="K20" s="112"/>
      <c r="L20" s="112"/>
      <c r="N20" s="110"/>
    </row>
    <row r="21" spans="1:27" ht="15.75" customHeight="1">
      <c r="A21" s="110"/>
      <c r="B21" s="1"/>
      <c r="C21" s="110"/>
      <c r="D21" s="112"/>
      <c r="E21" s="112"/>
      <c r="F21" s="112"/>
      <c r="G21" s="112"/>
      <c r="H21" s="112"/>
      <c r="I21" s="112" t="s">
        <v>300</v>
      </c>
      <c r="J21" s="112">
        <f>SUM(J3:J18)</f>
        <v>1920</v>
      </c>
      <c r="K21" s="112"/>
      <c r="L21" s="112"/>
      <c r="N21" s="110"/>
    </row>
    <row r="22" spans="1:27" ht="15.75" customHeight="1">
      <c r="A22" s="110"/>
      <c r="B22" s="1"/>
      <c r="C22" s="110"/>
      <c r="D22" s="112"/>
      <c r="E22" s="112"/>
      <c r="F22" s="112"/>
      <c r="G22" s="112"/>
      <c r="H22" s="112"/>
      <c r="I22" s="111"/>
      <c r="J22" s="112"/>
      <c r="K22" s="112"/>
      <c r="L22" s="112"/>
      <c r="N22" s="110"/>
    </row>
    <row r="23" spans="1:27" ht="15.75" customHeight="1">
      <c r="A23" s="110"/>
      <c r="B23" s="1"/>
      <c r="C23" s="110"/>
      <c r="D23" s="112"/>
      <c r="E23" s="112"/>
      <c r="F23" s="112"/>
      <c r="G23" s="112"/>
      <c r="H23" s="112" t="s">
        <v>45</v>
      </c>
      <c r="I23" s="111"/>
      <c r="J23" s="112"/>
      <c r="K23" s="112"/>
      <c r="L23" s="112"/>
      <c r="N23" s="110"/>
    </row>
    <row r="24" spans="1:27" ht="15.75" customHeight="1">
      <c r="A24" s="110" t="s">
        <v>689</v>
      </c>
      <c r="B24" s="1"/>
      <c r="C24" s="110"/>
      <c r="D24" s="112"/>
      <c r="E24" s="112"/>
      <c r="F24" s="112"/>
      <c r="G24" s="5" t="s">
        <v>886</v>
      </c>
      <c r="H24" s="125" t="s">
        <v>301</v>
      </c>
      <c r="I24" s="126">
        <v>0.5</v>
      </c>
      <c r="K24" s="112"/>
      <c r="L24" s="112"/>
    </row>
    <row r="25" spans="1:27" ht="15.75" customHeight="1">
      <c r="A25" s="1" t="s">
        <v>887</v>
      </c>
      <c r="H25" s="112">
        <v>400</v>
      </c>
      <c r="I25" s="127">
        <f>H25/I24-H25</f>
        <v>400</v>
      </c>
      <c r="J25" s="127">
        <f>SUM(H25:I25)</f>
        <v>800</v>
      </c>
    </row>
    <row r="26" spans="1:27" ht="15.75" customHeight="1">
      <c r="A26" s="1" t="s">
        <v>888</v>
      </c>
      <c r="G26" s="5" t="s">
        <v>889</v>
      </c>
      <c r="H26" s="128" t="s">
        <v>99</v>
      </c>
      <c r="I26" s="126">
        <v>0.5</v>
      </c>
    </row>
    <row r="27" spans="1:27" ht="15.75" customHeight="1">
      <c r="A27" s="1" t="s">
        <v>890</v>
      </c>
      <c r="H27" s="112">
        <v>300</v>
      </c>
      <c r="I27" s="127">
        <f>H27/I26-H27</f>
        <v>300</v>
      </c>
      <c r="J27" s="127">
        <f>SUM(H27:I27)</f>
        <v>600</v>
      </c>
    </row>
    <row r="28" spans="1:27" ht="15.75" customHeight="1">
      <c r="A28" s="1" t="s">
        <v>891</v>
      </c>
      <c r="G28" s="5" t="s">
        <v>892</v>
      </c>
      <c r="H28" s="128" t="s">
        <v>101</v>
      </c>
      <c r="I28" s="126">
        <v>0.5</v>
      </c>
    </row>
    <row r="29" spans="1:27" ht="15.75" customHeight="1">
      <c r="A29" s="1" t="s">
        <v>893</v>
      </c>
      <c r="H29" s="112">
        <v>400</v>
      </c>
      <c r="I29" s="127">
        <f>H29/I28-H29</f>
        <v>400</v>
      </c>
      <c r="J29" s="127">
        <f>SUM(H29:I29)</f>
        <v>800</v>
      </c>
    </row>
    <row r="30" spans="1:27" ht="15.75" customHeight="1">
      <c r="A30" s="1" t="s">
        <v>894</v>
      </c>
    </row>
    <row r="31" spans="1:27" ht="15.75" customHeight="1">
      <c r="A31" s="1" t="s">
        <v>895</v>
      </c>
      <c r="G31" s="1" t="s">
        <v>300</v>
      </c>
      <c r="H31">
        <f>SUM(H29,H27,H25)</f>
        <v>1100</v>
      </c>
      <c r="J31">
        <f>SUM(J29,J27,J25)</f>
        <v>2200</v>
      </c>
    </row>
    <row r="32" spans="1:27" ht="15.75" customHeight="1">
      <c r="A32" s="1" t="s">
        <v>896</v>
      </c>
    </row>
    <row r="33" spans="1:1" ht="15.75" customHeight="1">
      <c r="A33" s="1" t="s">
        <v>897</v>
      </c>
    </row>
    <row r="34" spans="1:1" ht="15.75" customHeight="1">
      <c r="A34" s="1" t="s">
        <v>898</v>
      </c>
    </row>
    <row r="36" spans="1:1" ht="15.75" customHeight="1">
      <c r="A36" s="1" t="s">
        <v>899</v>
      </c>
    </row>
    <row r="37" spans="1:1" ht="15.75" customHeight="1">
      <c r="A37" s="1" t="s">
        <v>900</v>
      </c>
    </row>
    <row r="38" spans="1:1" ht="15.75" customHeight="1">
      <c r="A38" s="1" t="s">
        <v>901</v>
      </c>
    </row>
    <row r="39" spans="1:1" ht="12.75">
      <c r="A39" s="1" t="s">
        <v>902</v>
      </c>
    </row>
    <row r="40" spans="1:1" ht="12.75">
      <c r="A40" s="1" t="s">
        <v>903</v>
      </c>
    </row>
    <row r="41" spans="1:1" ht="12.75">
      <c r="A41" s="1" t="s">
        <v>904</v>
      </c>
    </row>
    <row r="43" spans="1:1" ht="12.75">
      <c r="A43" s="1" t="s">
        <v>905</v>
      </c>
    </row>
    <row r="44" spans="1:1" ht="12.75">
      <c r="A44" s="1" t="s">
        <v>906</v>
      </c>
    </row>
    <row r="45" spans="1:1" ht="12.75">
      <c r="A45" s="1" t="s">
        <v>907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73"/>
  <sheetViews>
    <sheetView workbookViewId="0"/>
  </sheetViews>
  <sheetFormatPr defaultColWidth="14.42578125" defaultRowHeight="15.75" customHeight="1"/>
  <cols>
    <col min="1" max="1" width="19.5703125" customWidth="1"/>
    <col min="6" max="6" width="22.7109375" customWidth="1"/>
    <col min="7" max="7" width="19.7109375" customWidth="1"/>
  </cols>
  <sheetData>
    <row r="1" spans="1:14" ht="15.75" customHeight="1">
      <c r="A1" s="1" t="s">
        <v>855</v>
      </c>
      <c r="E1" s="30"/>
      <c r="F1" s="144" t="s">
        <v>856</v>
      </c>
      <c r="G1" s="26">
        <v>1.8</v>
      </c>
      <c r="H1" s="27"/>
      <c r="I1" s="27"/>
      <c r="J1" s="31" t="s">
        <v>191</v>
      </c>
      <c r="K1" s="27"/>
      <c r="L1" s="30"/>
      <c r="M1" s="30"/>
      <c r="N1" s="30"/>
    </row>
    <row r="2" spans="1:14" ht="15.75" customHeight="1">
      <c r="A2" s="1" t="s">
        <v>857</v>
      </c>
      <c r="E2" s="30"/>
      <c r="F2" s="26" t="s">
        <v>122</v>
      </c>
      <c r="G2" s="26">
        <v>363</v>
      </c>
      <c r="H2" s="26" t="s">
        <v>192</v>
      </c>
      <c r="I2" s="27"/>
      <c r="J2" s="28">
        <f>G11/(G6*1000)*G5</f>
        <v>43.56</v>
      </c>
      <c r="K2" s="26" t="s">
        <v>133</v>
      </c>
      <c r="L2" s="30"/>
      <c r="M2" s="30"/>
      <c r="N2" s="30"/>
    </row>
    <row r="3" spans="1:14" ht="15.75" customHeight="1">
      <c r="A3" s="1" t="s">
        <v>858</v>
      </c>
      <c r="E3" s="30"/>
      <c r="F3" s="26" t="s">
        <v>194</v>
      </c>
      <c r="G3" s="26">
        <v>2</v>
      </c>
      <c r="H3" s="27"/>
      <c r="I3" s="27"/>
      <c r="J3" s="145" t="s">
        <v>195</v>
      </c>
      <c r="K3" s="27"/>
      <c r="L3" s="30"/>
      <c r="M3" s="30"/>
      <c r="N3" s="30"/>
    </row>
    <row r="4" spans="1:14" ht="15.75" customHeight="1">
      <c r="E4" s="30"/>
      <c r="F4" s="26" t="s">
        <v>129</v>
      </c>
      <c r="G4" s="26">
        <v>100</v>
      </c>
      <c r="H4" s="26" t="s">
        <v>130</v>
      </c>
      <c r="I4" s="27"/>
      <c r="J4" s="28">
        <f>120/1200*J2*0.001</f>
        <v>4.3560000000000005E-3</v>
      </c>
      <c r="K4" s="26" t="s">
        <v>70</v>
      </c>
      <c r="L4" s="30"/>
      <c r="M4" s="30"/>
      <c r="N4" s="30"/>
    </row>
    <row r="5" spans="1:14" ht="15.75" customHeight="1">
      <c r="A5" s="1" t="s">
        <v>859</v>
      </c>
      <c r="B5" s="1"/>
      <c r="C5" s="1">
        <v>1800</v>
      </c>
      <c r="D5" s="1" t="s">
        <v>215</v>
      </c>
      <c r="E5" s="30"/>
      <c r="F5" s="26" t="s">
        <v>132</v>
      </c>
      <c r="G5" s="28">
        <f>G1*G2*G3*G4*0.001</f>
        <v>130.68</v>
      </c>
      <c r="H5" s="26" t="s">
        <v>133</v>
      </c>
      <c r="I5" s="31" t="s">
        <v>198</v>
      </c>
      <c r="J5" s="38">
        <f>(120/1000)/J4</f>
        <v>27.54820936639118</v>
      </c>
      <c r="K5" s="31" t="s">
        <v>135</v>
      </c>
      <c r="L5" s="30"/>
      <c r="M5" s="30"/>
      <c r="N5" s="30"/>
    </row>
    <row r="6" spans="1:14" ht="15.75" customHeight="1">
      <c r="E6" s="30"/>
      <c r="F6" s="26" t="s">
        <v>137</v>
      </c>
      <c r="G6" s="26">
        <v>1.8</v>
      </c>
      <c r="H6" s="26" t="s">
        <v>63</v>
      </c>
      <c r="I6" s="27"/>
      <c r="J6" s="27"/>
      <c r="K6" s="27"/>
      <c r="L6" s="30"/>
      <c r="M6" s="30"/>
      <c r="N6" s="30"/>
    </row>
    <row r="7" spans="1:14" ht="15.75" customHeight="1">
      <c r="E7" s="30"/>
      <c r="F7" s="26" t="s">
        <v>139</v>
      </c>
      <c r="G7" s="26">
        <f>G5/G6</f>
        <v>72.600000000000009</v>
      </c>
      <c r="H7" s="26" t="s">
        <v>140</v>
      </c>
      <c r="I7" s="27"/>
      <c r="J7" s="27"/>
      <c r="K7" s="27"/>
      <c r="L7" s="30"/>
      <c r="M7" s="30"/>
      <c r="N7" s="30"/>
    </row>
    <row r="8" spans="1:14" ht="15.75" customHeight="1">
      <c r="A8" s="133" t="s">
        <v>860</v>
      </c>
      <c r="B8" s="30"/>
      <c r="C8" s="30"/>
      <c r="D8" s="30"/>
      <c r="E8" s="30"/>
      <c r="F8" s="26" t="s">
        <v>202</v>
      </c>
      <c r="G8" s="26">
        <v>0.5</v>
      </c>
      <c r="H8" s="26"/>
      <c r="I8" s="27"/>
      <c r="J8" s="26" t="s">
        <v>203</v>
      </c>
      <c r="K8" s="27"/>
      <c r="L8" s="30"/>
      <c r="M8" s="30"/>
      <c r="N8" s="30"/>
    </row>
    <row r="9" spans="1:14" ht="15.75" customHeight="1">
      <c r="A9" s="133" t="s">
        <v>861</v>
      </c>
      <c r="B9" s="30"/>
      <c r="C9" s="30"/>
      <c r="D9" s="30"/>
      <c r="E9" s="30"/>
      <c r="F9" s="26" t="s">
        <v>146</v>
      </c>
      <c r="G9" s="26">
        <f>G7*G8</f>
        <v>36.300000000000004</v>
      </c>
      <c r="H9" s="26" t="s">
        <v>140</v>
      </c>
      <c r="I9" s="27"/>
      <c r="J9" s="28">
        <f>G9*(120/1000)/1000</f>
        <v>4.3560000000000005E-3</v>
      </c>
      <c r="K9" s="26" t="s">
        <v>70</v>
      </c>
      <c r="L9" s="30"/>
      <c r="M9" s="30"/>
      <c r="N9" s="30"/>
    </row>
    <row r="10" spans="1:14" ht="15.75" customHeight="1">
      <c r="A10" s="133" t="s">
        <v>862</v>
      </c>
      <c r="B10" s="133"/>
      <c r="C10" s="133" t="s">
        <v>863</v>
      </c>
      <c r="D10" s="133" t="s">
        <v>864</v>
      </c>
      <c r="E10" s="30"/>
      <c r="F10" s="26" t="s">
        <v>214</v>
      </c>
      <c r="G10" s="26">
        <v>600</v>
      </c>
      <c r="H10" s="26" t="s">
        <v>215</v>
      </c>
      <c r="I10" s="27"/>
      <c r="J10" s="26" t="s">
        <v>135</v>
      </c>
      <c r="K10" s="27"/>
      <c r="L10" s="30"/>
      <c r="M10" s="30"/>
      <c r="N10" s="30"/>
    </row>
    <row r="11" spans="1:14" ht="15.75" customHeight="1">
      <c r="A11" s="133">
        <v>9</v>
      </c>
      <c r="B11" s="133"/>
      <c r="C11" s="133">
        <v>120</v>
      </c>
      <c r="D11" s="146">
        <f>C11*A11</f>
        <v>1080</v>
      </c>
      <c r="E11" s="30"/>
      <c r="F11" s="26" t="s">
        <v>217</v>
      </c>
      <c r="G11" s="26">
        <v>600</v>
      </c>
      <c r="H11" s="26" t="s">
        <v>215</v>
      </c>
      <c r="I11" s="27"/>
      <c r="J11" s="28">
        <f>(120/1000)/J9</f>
        <v>27.54820936639118</v>
      </c>
      <c r="K11" s="27"/>
      <c r="L11" s="30"/>
      <c r="M11" s="30"/>
      <c r="N11" s="30"/>
    </row>
    <row r="12" spans="1:14" ht="15.75" customHeight="1">
      <c r="A12" s="133"/>
      <c r="B12" s="148"/>
      <c r="C12" s="148"/>
      <c r="D12" s="148"/>
      <c r="E12" s="148"/>
      <c r="F12" s="148"/>
      <c r="G12" s="148"/>
      <c r="H12" s="148"/>
      <c r="I12" s="148"/>
      <c r="J12" s="148"/>
      <c r="K12" s="148"/>
      <c r="L12" s="148"/>
      <c r="M12" s="148"/>
      <c r="N12" s="148"/>
    </row>
    <row r="13" spans="1:14" ht="15.75" customHeight="1">
      <c r="A13" s="133"/>
      <c r="B13" s="148"/>
      <c r="C13" s="148"/>
      <c r="D13" s="148"/>
      <c r="E13" s="148"/>
      <c r="F13" s="148"/>
      <c r="G13" s="148"/>
      <c r="H13" s="148"/>
      <c r="I13" s="148"/>
      <c r="J13" s="148"/>
      <c r="K13" s="148"/>
      <c r="L13" s="148"/>
      <c r="M13" s="148"/>
      <c r="N13" s="148"/>
    </row>
    <row r="14" spans="1:14" ht="15.75" customHeight="1">
      <c r="A14" s="149"/>
      <c r="B14" s="150" t="s">
        <v>908</v>
      </c>
      <c r="C14" s="198" t="s">
        <v>909</v>
      </c>
      <c r="D14" s="186"/>
      <c r="E14" s="186"/>
      <c r="F14" s="198" t="s">
        <v>910</v>
      </c>
      <c r="G14" s="186"/>
      <c r="H14" s="186"/>
      <c r="I14" s="198" t="s">
        <v>911</v>
      </c>
      <c r="J14" s="186"/>
      <c r="K14" s="186"/>
      <c r="L14" s="198" t="s">
        <v>912</v>
      </c>
      <c r="M14" s="186"/>
      <c r="N14" s="186"/>
    </row>
    <row r="15" spans="1:14" ht="15.75" customHeight="1">
      <c r="A15" s="54"/>
      <c r="B15" s="54"/>
      <c r="C15" s="54" t="s">
        <v>913</v>
      </c>
      <c r="D15" s="54" t="s">
        <v>914</v>
      </c>
      <c r="E15" s="54" t="s">
        <v>915</v>
      </c>
      <c r="F15" s="54" t="s">
        <v>913</v>
      </c>
      <c r="G15" s="54" t="s">
        <v>914</v>
      </c>
      <c r="H15" s="54" t="s">
        <v>915</v>
      </c>
      <c r="I15" s="54" t="s">
        <v>913</v>
      </c>
      <c r="J15" s="54" t="s">
        <v>914</v>
      </c>
      <c r="K15" s="54" t="s">
        <v>915</v>
      </c>
      <c r="L15" s="54" t="s">
        <v>913</v>
      </c>
      <c r="M15" s="54" t="s">
        <v>914</v>
      </c>
      <c r="N15" s="54" t="s">
        <v>915</v>
      </c>
    </row>
    <row r="16" spans="1:14" ht="15.75" customHeight="1">
      <c r="A16" s="142" t="s">
        <v>205</v>
      </c>
      <c r="B16" s="54"/>
      <c r="C16" s="54" t="s">
        <v>916</v>
      </c>
      <c r="D16" s="54" t="s">
        <v>917</v>
      </c>
      <c r="E16" s="54" t="s">
        <v>918</v>
      </c>
      <c r="F16" s="54" t="s">
        <v>919</v>
      </c>
      <c r="G16" s="54" t="s">
        <v>920</v>
      </c>
      <c r="H16" s="54" t="s">
        <v>921</v>
      </c>
      <c r="I16" s="54" t="s">
        <v>922</v>
      </c>
      <c r="J16" s="54" t="s">
        <v>923</v>
      </c>
      <c r="K16" s="54" t="s">
        <v>924</v>
      </c>
      <c r="L16" s="54" t="s">
        <v>925</v>
      </c>
      <c r="M16" s="54" t="s">
        <v>926</v>
      </c>
      <c r="N16" s="54" t="s">
        <v>927</v>
      </c>
    </row>
    <row r="17" spans="1:14" ht="15.75" customHeight="1">
      <c r="A17" s="54" t="s">
        <v>206</v>
      </c>
      <c r="B17" s="54"/>
      <c r="C17" s="54">
        <v>0.222</v>
      </c>
      <c r="D17" s="54">
        <v>0.44019999999999998</v>
      </c>
      <c r="E17" s="54">
        <v>0.65949999999999998</v>
      </c>
      <c r="F17" s="54">
        <v>0.22819999999999999</v>
      </c>
      <c r="G17" s="54">
        <v>0.45040000000000002</v>
      </c>
      <c r="H17" s="54">
        <v>0.67889999999999995</v>
      </c>
      <c r="I17" s="54">
        <v>0.2215</v>
      </c>
      <c r="J17" s="54">
        <v>0.44769999999999999</v>
      </c>
      <c r="K17" s="54">
        <v>0.66420000000000001</v>
      </c>
      <c r="L17" s="54">
        <v>0.2278</v>
      </c>
      <c r="M17" s="54">
        <v>0.45729999999999998</v>
      </c>
      <c r="N17" s="54">
        <v>0.6794</v>
      </c>
    </row>
    <row r="18" spans="1:14" ht="15.75" customHeight="1">
      <c r="A18" s="54" t="s">
        <v>928</v>
      </c>
      <c r="B18" s="54"/>
      <c r="C18" s="54">
        <v>0.3417</v>
      </c>
      <c r="D18" s="54">
        <v>0.67879999999999996</v>
      </c>
      <c r="E18" s="54">
        <v>1.0161</v>
      </c>
      <c r="F18" s="54">
        <v>0.3453</v>
      </c>
      <c r="G18" s="54">
        <v>0.68789999999999996</v>
      </c>
      <c r="H18" s="54">
        <v>1.0357000000000001</v>
      </c>
      <c r="I18" s="54">
        <v>0.3407</v>
      </c>
      <c r="J18" s="54">
        <v>0.68130000000000002</v>
      </c>
      <c r="K18" s="54">
        <v>1.0149999999999999</v>
      </c>
      <c r="L18" s="54">
        <v>0.34639999999999999</v>
      </c>
      <c r="M18" s="54">
        <v>0.69220000000000004</v>
      </c>
      <c r="N18" s="54">
        <v>1.0330999999999999</v>
      </c>
    </row>
    <row r="19" spans="1:14" ht="15.75" customHeight="1">
      <c r="A19" s="54" t="s">
        <v>929</v>
      </c>
      <c r="B19" s="54"/>
      <c r="C19" s="54">
        <v>0.2387</v>
      </c>
      <c r="D19" s="54">
        <v>0.47460000000000002</v>
      </c>
      <c r="E19" s="54">
        <v>0.71209999999999996</v>
      </c>
      <c r="F19" s="54">
        <v>0.2349</v>
      </c>
      <c r="G19" s="54">
        <v>0.46700000000000003</v>
      </c>
      <c r="H19" s="54">
        <v>0.70579999999999998</v>
      </c>
      <c r="I19" s="54">
        <v>0.22800000000000001</v>
      </c>
      <c r="J19" s="54">
        <v>0.46179999999999999</v>
      </c>
      <c r="K19" s="54">
        <v>0.68659999999999999</v>
      </c>
      <c r="L19" s="54">
        <v>0.22120000000000001</v>
      </c>
      <c r="M19" s="54">
        <v>0.44940000000000002</v>
      </c>
      <c r="N19" s="54">
        <v>0.67110000000000003</v>
      </c>
    </row>
    <row r="20" spans="1:14" ht="15.75" customHeight="1">
      <c r="A20" s="11"/>
      <c r="B20" s="74"/>
      <c r="C20" s="74"/>
      <c r="D20" s="74"/>
      <c r="E20" s="74"/>
      <c r="F20" s="11"/>
      <c r="G20" s="11"/>
      <c r="H20" s="11"/>
      <c r="I20" s="74"/>
      <c r="J20" s="74"/>
      <c r="K20" s="74"/>
      <c r="L20" s="54" t="s">
        <v>913</v>
      </c>
      <c r="M20" s="54" t="s">
        <v>914</v>
      </c>
      <c r="N20" s="54" t="s">
        <v>915</v>
      </c>
    </row>
    <row r="21" spans="1:14" ht="15.75" customHeight="1">
      <c r="A21" s="45" t="s">
        <v>930</v>
      </c>
      <c r="B21" s="11"/>
      <c r="C21" s="11"/>
      <c r="D21" s="11"/>
      <c r="E21" s="11"/>
      <c r="F21" s="11"/>
      <c r="G21" s="11"/>
      <c r="H21" s="11"/>
      <c r="I21" s="11"/>
      <c r="J21" s="11"/>
      <c r="K21" s="11"/>
      <c r="L21" s="54" t="s">
        <v>931</v>
      </c>
      <c r="M21" s="54" t="s">
        <v>932</v>
      </c>
      <c r="N21" s="54" t="s">
        <v>933</v>
      </c>
    </row>
    <row r="22" spans="1:14" ht="15.75" customHeight="1">
      <c r="A22" s="11" t="s">
        <v>206</v>
      </c>
      <c r="B22" s="11"/>
      <c r="C22" s="11"/>
      <c r="D22" s="11"/>
      <c r="E22" s="11"/>
      <c r="F22" s="11"/>
      <c r="G22" s="11"/>
      <c r="H22" s="11"/>
      <c r="I22" s="11"/>
      <c r="J22" s="11"/>
      <c r="K22" s="11"/>
      <c r="L22" s="54">
        <v>0.22120000000000001</v>
      </c>
      <c r="M22" s="54">
        <v>0.44490000000000002</v>
      </c>
      <c r="N22" s="54">
        <v>0.66890000000000005</v>
      </c>
    </row>
    <row r="23" spans="1:14" ht="15.75" customHeight="1">
      <c r="A23" s="11" t="s">
        <v>928</v>
      </c>
      <c r="B23" s="11"/>
      <c r="C23" s="11"/>
      <c r="D23" s="11"/>
      <c r="E23" s="11"/>
      <c r="F23" s="11"/>
      <c r="G23" s="11"/>
      <c r="H23" s="11"/>
      <c r="I23" s="11"/>
      <c r="J23" s="11"/>
      <c r="K23" s="11"/>
      <c r="L23" s="54">
        <v>0.33700000000000002</v>
      </c>
      <c r="M23" s="54">
        <v>0.67500000000000004</v>
      </c>
      <c r="N23" s="54">
        <v>1.0165</v>
      </c>
    </row>
    <row r="24" spans="1:14" ht="15.75" customHeight="1">
      <c r="A24" s="11" t="s">
        <v>929</v>
      </c>
      <c r="B24" s="11"/>
      <c r="C24" s="11"/>
      <c r="D24" s="11"/>
      <c r="E24" s="11"/>
      <c r="F24" s="11"/>
      <c r="G24" s="11"/>
      <c r="H24" s="11"/>
      <c r="I24" s="11"/>
      <c r="J24" s="11"/>
      <c r="K24" s="11"/>
      <c r="L24" s="54">
        <v>0.2094</v>
      </c>
      <c r="M24" s="54">
        <v>0.42370000000000002</v>
      </c>
      <c r="N24" s="54">
        <v>0.63939999999999997</v>
      </c>
    </row>
    <row r="25" spans="1:14" ht="15.75" customHeight="1">
      <c r="A25" s="30"/>
      <c r="B25" s="30"/>
      <c r="C25" s="30"/>
      <c r="D25" s="30"/>
      <c r="E25" s="30"/>
      <c r="F25" s="30"/>
      <c r="G25" s="30"/>
      <c r="H25" s="30"/>
      <c r="I25" s="30"/>
      <c r="J25" s="30"/>
      <c r="K25" s="30"/>
      <c r="L25" s="30"/>
      <c r="M25" s="30"/>
      <c r="N25" s="30"/>
    </row>
    <row r="26" spans="1:14" ht="15.75" customHeight="1">
      <c r="A26" s="30"/>
      <c r="B26" s="30"/>
      <c r="C26" s="30"/>
      <c r="D26" s="30"/>
      <c r="E26" s="30"/>
      <c r="F26" s="30"/>
      <c r="G26" s="30"/>
      <c r="H26" s="30"/>
      <c r="I26" s="30"/>
      <c r="J26" s="30"/>
      <c r="K26" s="30"/>
      <c r="L26" s="30"/>
      <c r="M26" s="30"/>
      <c r="N26" s="30"/>
    </row>
    <row r="27" spans="1:14" ht="15.75" customHeight="1">
      <c r="A27" s="142" t="s">
        <v>205</v>
      </c>
      <c r="B27" s="54"/>
      <c r="C27" s="54" t="s">
        <v>916</v>
      </c>
      <c r="D27" s="54" t="s">
        <v>917</v>
      </c>
      <c r="E27" s="54" t="s">
        <v>918</v>
      </c>
      <c r="F27" s="54" t="s">
        <v>919</v>
      </c>
      <c r="G27" s="54" t="s">
        <v>920</v>
      </c>
      <c r="H27" s="54" t="s">
        <v>921</v>
      </c>
      <c r="I27" s="54" t="s">
        <v>922</v>
      </c>
      <c r="J27" s="54" t="s">
        <v>923</v>
      </c>
      <c r="K27" s="54" t="s">
        <v>924</v>
      </c>
      <c r="L27" s="133">
        <v>7</v>
      </c>
      <c r="M27" s="133">
        <v>8</v>
      </c>
      <c r="N27" s="133">
        <v>9</v>
      </c>
    </row>
    <row r="28" spans="1:14" ht="15.75" customHeight="1">
      <c r="A28" s="54" t="s">
        <v>206</v>
      </c>
      <c r="B28" s="54"/>
      <c r="C28" s="54">
        <f t="shared" ref="C28:C30" si="0">C17</f>
        <v>0.222</v>
      </c>
      <c r="D28" s="54">
        <f t="shared" ref="D28:E28" si="1">D17-C17</f>
        <v>0.21819999999999998</v>
      </c>
      <c r="E28" s="54">
        <f t="shared" si="1"/>
        <v>0.21929999999999999</v>
      </c>
      <c r="F28" s="54">
        <f t="shared" ref="F28:F30" si="2">F17</f>
        <v>0.22819999999999999</v>
      </c>
      <c r="G28" s="54">
        <f t="shared" ref="G28:H28" si="3">G17-F17</f>
        <v>0.22220000000000004</v>
      </c>
      <c r="H28" s="54">
        <f t="shared" si="3"/>
        <v>0.22849999999999993</v>
      </c>
      <c r="I28" s="54">
        <f t="shared" ref="I28:I30" si="4">I17</f>
        <v>0.2215</v>
      </c>
      <c r="J28" s="54">
        <f t="shared" ref="J28:K28" si="5">J17-I17</f>
        <v>0.22619999999999998</v>
      </c>
      <c r="K28" s="54">
        <f t="shared" si="5"/>
        <v>0.21650000000000003</v>
      </c>
      <c r="L28" s="133">
        <f t="shared" ref="L28:L30" si="6">L17</f>
        <v>0.2278</v>
      </c>
      <c r="M28" s="133">
        <f t="shared" ref="M28:N28" si="7">M17-L17</f>
        <v>0.22949999999999998</v>
      </c>
      <c r="N28" s="133">
        <f t="shared" si="7"/>
        <v>0.22210000000000002</v>
      </c>
    </row>
    <row r="29" spans="1:14" ht="15.75" customHeight="1">
      <c r="A29" s="54" t="s">
        <v>934</v>
      </c>
      <c r="B29" s="59"/>
      <c r="C29" s="55">
        <f t="shared" si="0"/>
        <v>0.3417</v>
      </c>
      <c r="D29" s="55">
        <f t="shared" ref="D29:E29" si="8">D18-C18</f>
        <v>0.33709999999999996</v>
      </c>
      <c r="E29" s="55">
        <f t="shared" si="8"/>
        <v>0.33730000000000004</v>
      </c>
      <c r="F29" s="55">
        <f t="shared" si="2"/>
        <v>0.3453</v>
      </c>
      <c r="G29" s="55">
        <f t="shared" ref="G29:H29" si="9">G18-F18</f>
        <v>0.34259999999999996</v>
      </c>
      <c r="H29" s="55">
        <f t="shared" si="9"/>
        <v>0.34780000000000011</v>
      </c>
      <c r="I29" s="55">
        <f t="shared" si="4"/>
        <v>0.3407</v>
      </c>
      <c r="J29" s="55">
        <f t="shared" ref="J29:K29" si="10">J18-I18</f>
        <v>0.34060000000000001</v>
      </c>
      <c r="K29" s="55">
        <f t="shared" si="10"/>
        <v>0.33369999999999989</v>
      </c>
      <c r="L29" s="146">
        <f t="shared" si="6"/>
        <v>0.34639999999999999</v>
      </c>
      <c r="M29" s="146">
        <f t="shared" ref="M29:N29" si="11">M18-L18</f>
        <v>0.34580000000000005</v>
      </c>
      <c r="N29" s="146">
        <f t="shared" si="11"/>
        <v>0.34089999999999987</v>
      </c>
    </row>
    <row r="30" spans="1:14" ht="15.75" customHeight="1">
      <c r="A30" s="54" t="s">
        <v>209</v>
      </c>
      <c r="B30" s="59"/>
      <c r="C30" s="55">
        <f t="shared" si="0"/>
        <v>0.2387</v>
      </c>
      <c r="D30" s="55">
        <f t="shared" ref="D30:E30" si="12">D19-C19</f>
        <v>0.23590000000000003</v>
      </c>
      <c r="E30" s="55">
        <f t="shared" si="12"/>
        <v>0.23749999999999993</v>
      </c>
      <c r="F30" s="54">
        <f t="shared" si="2"/>
        <v>0.2349</v>
      </c>
      <c r="G30" s="54">
        <f t="shared" ref="G30:H30" si="13">G19-F19</f>
        <v>0.23210000000000003</v>
      </c>
      <c r="H30" s="54">
        <f t="shared" si="13"/>
        <v>0.23879999999999996</v>
      </c>
      <c r="I30" s="55">
        <f t="shared" si="4"/>
        <v>0.22800000000000001</v>
      </c>
      <c r="J30" s="55">
        <f t="shared" ref="J30:K30" si="14">J19-I19</f>
        <v>0.23379999999999998</v>
      </c>
      <c r="K30" s="55">
        <f t="shared" si="14"/>
        <v>0.2248</v>
      </c>
      <c r="L30" s="146">
        <f t="shared" si="6"/>
        <v>0.22120000000000001</v>
      </c>
      <c r="M30" s="146">
        <f t="shared" ref="M30:N30" si="15">M19-L19</f>
        <v>0.22820000000000001</v>
      </c>
      <c r="N30" s="146">
        <f t="shared" si="15"/>
        <v>0.22170000000000001</v>
      </c>
    </row>
    <row r="31" spans="1:14" ht="15.75" customHeight="1">
      <c r="A31" s="54" t="s">
        <v>157</v>
      </c>
      <c r="B31" s="59"/>
      <c r="C31" s="195">
        <f>AVERAGE(C30:E30)</f>
        <v>0.23736666666666664</v>
      </c>
      <c r="D31" s="186"/>
      <c r="E31" s="186"/>
      <c r="F31" s="195">
        <f>AVERAGE(F30:H30)</f>
        <v>0.23526666666666665</v>
      </c>
      <c r="G31" s="186"/>
      <c r="H31" s="186"/>
      <c r="I31" s="195">
        <f>AVERAGE(I30:K30)</f>
        <v>0.22886666666666666</v>
      </c>
      <c r="J31" s="186"/>
      <c r="K31" s="186"/>
      <c r="L31" s="196">
        <f>AVERAGE(L30:N30)</f>
        <v>0.22370000000000001</v>
      </c>
      <c r="M31" s="186"/>
      <c r="N31" s="186"/>
    </row>
    <row r="32" spans="1:14" ht="15.75" customHeight="1">
      <c r="A32" s="148" t="s">
        <v>930</v>
      </c>
      <c r="B32" s="133"/>
      <c r="C32" s="133"/>
      <c r="D32" s="133"/>
      <c r="E32" s="133"/>
      <c r="F32" s="133"/>
      <c r="G32" s="133"/>
      <c r="H32" s="133"/>
      <c r="I32" s="133"/>
      <c r="J32" s="133"/>
      <c r="K32" s="133"/>
      <c r="L32" s="133" t="s">
        <v>931</v>
      </c>
      <c r="M32" s="133" t="s">
        <v>932</v>
      </c>
      <c r="N32" s="133" t="s">
        <v>933</v>
      </c>
    </row>
    <row r="33" spans="1:14" ht="15.75" customHeight="1">
      <c r="A33" s="133" t="s">
        <v>206</v>
      </c>
      <c r="B33" s="133"/>
      <c r="C33" s="133"/>
      <c r="D33" s="133"/>
      <c r="E33" s="133"/>
      <c r="F33" s="133"/>
      <c r="G33" s="133"/>
      <c r="H33" s="133"/>
      <c r="I33" s="133"/>
      <c r="J33" s="133"/>
      <c r="K33" s="133"/>
      <c r="L33" s="133">
        <f t="shared" ref="L33:L35" si="16">L22</f>
        <v>0.22120000000000001</v>
      </c>
      <c r="M33" s="133">
        <f t="shared" ref="M33:N33" si="17">M22-L22</f>
        <v>0.22370000000000001</v>
      </c>
      <c r="N33" s="133">
        <f t="shared" si="17"/>
        <v>0.22400000000000003</v>
      </c>
    </row>
    <row r="34" spans="1:14" ht="15.75" customHeight="1">
      <c r="A34" s="133" t="s">
        <v>934</v>
      </c>
      <c r="B34" s="30"/>
      <c r="C34" s="30"/>
      <c r="D34" s="30"/>
      <c r="E34" s="30"/>
      <c r="F34" s="30"/>
      <c r="G34" s="30"/>
      <c r="H34" s="30"/>
      <c r="I34" s="30"/>
      <c r="J34" s="30"/>
      <c r="K34" s="30"/>
      <c r="L34" s="146">
        <f t="shared" si="16"/>
        <v>0.33700000000000002</v>
      </c>
      <c r="M34" s="146">
        <f t="shared" ref="M34:N34" si="18">M23-L23</f>
        <v>0.33800000000000002</v>
      </c>
      <c r="N34" s="146">
        <f t="shared" si="18"/>
        <v>0.34149999999999991</v>
      </c>
    </row>
    <row r="35" spans="1:14" ht="15.75" customHeight="1">
      <c r="A35" s="133" t="s">
        <v>209</v>
      </c>
      <c r="B35" s="30"/>
      <c r="C35" s="30"/>
      <c r="D35" s="30"/>
      <c r="E35" s="30"/>
      <c r="F35" s="30"/>
      <c r="G35" s="30"/>
      <c r="H35" s="30"/>
      <c r="I35" s="30"/>
      <c r="J35" s="30"/>
      <c r="K35" s="30"/>
      <c r="L35" s="146">
        <f t="shared" si="16"/>
        <v>0.2094</v>
      </c>
      <c r="M35" s="146">
        <f t="shared" ref="M35:N35" si="19">M24-L24</f>
        <v>0.21430000000000002</v>
      </c>
      <c r="N35" s="146">
        <f t="shared" si="19"/>
        <v>0.21569999999999995</v>
      </c>
    </row>
    <row r="36" spans="1:14" ht="15.75" customHeight="1">
      <c r="A36" s="11" t="s">
        <v>157</v>
      </c>
      <c r="B36" s="151"/>
      <c r="C36" s="151"/>
      <c r="D36" s="151"/>
      <c r="E36" s="151"/>
      <c r="F36" s="151"/>
      <c r="G36" s="151"/>
      <c r="H36" s="151"/>
      <c r="I36" s="151"/>
      <c r="J36" s="151"/>
      <c r="K36" s="151"/>
      <c r="L36" s="200">
        <f>AVERAGE(L35:N35)</f>
        <v>0.21313333333333331</v>
      </c>
      <c r="M36" s="186"/>
      <c r="N36" s="186"/>
    </row>
    <row r="37" spans="1:14" ht="15.75" customHeight="1">
      <c r="A37" s="152" t="s">
        <v>935</v>
      </c>
      <c r="B37" s="153"/>
      <c r="C37" s="199">
        <f>C31-L31</f>
        <v>1.3666666666666633E-2</v>
      </c>
      <c r="D37" s="186"/>
      <c r="E37" s="186"/>
      <c r="F37" s="199">
        <f>F31-L31</f>
        <v>1.1566666666666642E-2</v>
      </c>
      <c r="G37" s="186"/>
      <c r="H37" s="186"/>
      <c r="I37" s="199">
        <f>I31-L31</f>
        <v>5.1666666666666528E-3</v>
      </c>
      <c r="J37" s="186"/>
      <c r="K37" s="186"/>
      <c r="L37" s="199">
        <f>L31-L31</f>
        <v>0</v>
      </c>
      <c r="M37" s="186"/>
      <c r="N37" s="186"/>
    </row>
    <row r="38" spans="1:14" ht="15.75" customHeight="1">
      <c r="A38" s="154" t="s">
        <v>936</v>
      </c>
      <c r="B38" s="155">
        <f>J11</f>
        <v>27.54820936639118</v>
      </c>
      <c r="C38" s="196">
        <f>C37/J4</f>
        <v>3.1374349556167656</v>
      </c>
      <c r="D38" s="186"/>
      <c r="E38" s="186"/>
      <c r="F38" s="196">
        <f>F37/J4</f>
        <v>2.6553412917049219</v>
      </c>
      <c r="G38" s="186"/>
      <c r="H38" s="186"/>
      <c r="I38" s="196">
        <f>I37/J4</f>
        <v>1.1861034588307282</v>
      </c>
      <c r="J38" s="186"/>
      <c r="K38" s="186"/>
      <c r="L38" s="196">
        <f>L37/J4</f>
        <v>0</v>
      </c>
      <c r="M38" s="186"/>
      <c r="N38" s="186"/>
    </row>
    <row r="39" spans="1:14" ht="12.75">
      <c r="A39" s="30"/>
      <c r="B39" s="30"/>
      <c r="C39" s="30"/>
      <c r="D39" s="30"/>
      <c r="E39" s="30"/>
      <c r="F39" s="30"/>
      <c r="G39" s="30"/>
      <c r="H39" s="30"/>
      <c r="I39" s="30"/>
      <c r="J39" s="30"/>
      <c r="K39" s="30"/>
      <c r="L39" s="30"/>
      <c r="M39" s="30"/>
      <c r="N39" s="30"/>
    </row>
    <row r="40" spans="1:14" ht="12.75">
      <c r="A40" s="30"/>
      <c r="B40" s="30"/>
      <c r="C40" s="30"/>
      <c r="D40" s="30"/>
      <c r="E40" s="30"/>
      <c r="F40" s="30"/>
      <c r="G40" s="30"/>
      <c r="H40" s="30"/>
      <c r="I40" s="30"/>
      <c r="J40" s="30"/>
      <c r="K40" s="30"/>
      <c r="L40" s="30"/>
      <c r="M40" s="30"/>
      <c r="N40" s="30"/>
    </row>
    <row r="41" spans="1:14" ht="12.75">
      <c r="A41" s="30"/>
      <c r="B41" s="30"/>
      <c r="C41" s="30"/>
      <c r="D41" s="30"/>
      <c r="E41" s="30"/>
      <c r="F41" s="30"/>
      <c r="G41" s="30"/>
      <c r="H41" s="30"/>
      <c r="I41" s="30"/>
      <c r="J41" s="30"/>
      <c r="K41" s="30"/>
      <c r="L41" s="30"/>
      <c r="M41" s="30"/>
      <c r="N41" s="30"/>
    </row>
    <row r="42" spans="1:14" ht="12.75">
      <c r="A42" s="30"/>
      <c r="B42" s="30"/>
      <c r="C42" s="30"/>
      <c r="D42" s="30"/>
      <c r="E42" s="30"/>
      <c r="F42" s="30"/>
      <c r="G42" s="30"/>
      <c r="H42" s="30"/>
      <c r="I42" s="30"/>
      <c r="J42" s="30"/>
      <c r="K42" s="30"/>
      <c r="L42" s="30"/>
      <c r="M42" s="30"/>
      <c r="N42" s="30"/>
    </row>
    <row r="43" spans="1:14" ht="12.75">
      <c r="A43" s="30"/>
      <c r="B43" s="30"/>
      <c r="C43" s="30"/>
      <c r="D43" s="30"/>
      <c r="E43" s="30"/>
      <c r="F43" s="30"/>
      <c r="G43" s="30"/>
      <c r="H43" s="30"/>
      <c r="I43" s="30"/>
      <c r="J43" s="30"/>
      <c r="K43" s="30"/>
      <c r="L43" s="30"/>
      <c r="M43" s="30"/>
      <c r="N43" s="30"/>
    </row>
    <row r="44" spans="1:14" ht="12.75">
      <c r="A44" s="30"/>
      <c r="B44" s="30"/>
      <c r="C44" s="30"/>
      <c r="D44" s="30"/>
      <c r="E44" s="30"/>
      <c r="F44" s="30"/>
      <c r="G44" s="30"/>
      <c r="H44" s="30"/>
      <c r="I44" s="30"/>
      <c r="J44" s="30"/>
      <c r="K44" s="30"/>
      <c r="L44" s="30"/>
      <c r="M44" s="30"/>
      <c r="N44" s="30"/>
    </row>
    <row r="45" spans="1:14" ht="12.75">
      <c r="A45" s="30"/>
      <c r="B45" s="30"/>
      <c r="C45" s="30"/>
      <c r="D45" s="30"/>
      <c r="E45" s="30"/>
      <c r="F45" s="30"/>
      <c r="G45" s="30"/>
      <c r="H45" s="30"/>
      <c r="I45" s="30"/>
      <c r="J45" s="30"/>
      <c r="K45" s="30"/>
      <c r="L45" s="30"/>
      <c r="M45" s="30"/>
      <c r="N45" s="30"/>
    </row>
    <row r="46" spans="1:14" ht="12.75">
      <c r="A46" s="30"/>
      <c r="B46" s="30"/>
      <c r="C46" s="30"/>
      <c r="D46" s="30"/>
      <c r="E46" s="30"/>
      <c r="F46" s="30"/>
      <c r="G46" s="30"/>
      <c r="H46" s="30"/>
      <c r="I46" s="30"/>
      <c r="J46" s="30"/>
      <c r="K46" s="30"/>
      <c r="L46" s="30"/>
      <c r="M46" s="30"/>
      <c r="N46" s="30"/>
    </row>
    <row r="47" spans="1:14" ht="12.75">
      <c r="A47" s="30"/>
      <c r="B47" s="30"/>
      <c r="C47" s="30"/>
      <c r="D47" s="30"/>
      <c r="E47" s="30"/>
      <c r="F47" s="30"/>
      <c r="G47" s="30"/>
      <c r="H47" s="30"/>
      <c r="I47" s="30"/>
      <c r="J47" s="30"/>
      <c r="K47" s="30"/>
      <c r="L47" s="30"/>
      <c r="M47" s="30"/>
      <c r="N47" s="30"/>
    </row>
    <row r="48" spans="1:14" ht="12.75">
      <c r="A48" s="30"/>
      <c r="B48" s="30"/>
      <c r="C48" s="30"/>
      <c r="D48" s="30"/>
      <c r="E48" s="30"/>
      <c r="F48" s="30"/>
      <c r="G48" s="30"/>
      <c r="H48" s="30"/>
      <c r="I48" s="30"/>
      <c r="J48" s="30"/>
      <c r="K48" s="30"/>
      <c r="L48" s="30"/>
      <c r="M48" s="30"/>
      <c r="N48" s="30"/>
    </row>
    <row r="49" spans="1:14" ht="12.75">
      <c r="A49" s="30"/>
      <c r="B49" s="30"/>
      <c r="C49" s="30"/>
      <c r="D49" s="30"/>
      <c r="E49" s="30"/>
      <c r="F49" s="30"/>
      <c r="G49" s="30"/>
      <c r="H49" s="30"/>
      <c r="I49" s="30"/>
      <c r="J49" s="30"/>
      <c r="K49" s="30"/>
      <c r="L49" s="30"/>
      <c r="M49" s="30"/>
      <c r="N49" s="30"/>
    </row>
    <row r="50" spans="1:14" ht="12.75">
      <c r="A50" s="30"/>
      <c r="B50" s="30"/>
      <c r="C50" s="30"/>
      <c r="D50" s="30"/>
      <c r="E50" s="30"/>
      <c r="F50" s="30"/>
      <c r="G50" s="30"/>
      <c r="H50" s="30"/>
      <c r="I50" s="30"/>
      <c r="J50" s="30"/>
      <c r="K50" s="30"/>
      <c r="L50" s="30"/>
      <c r="M50" s="30"/>
      <c r="N50" s="30"/>
    </row>
    <row r="51" spans="1:14" ht="12.75">
      <c r="A51" s="30"/>
      <c r="B51" s="30"/>
      <c r="C51" s="30"/>
      <c r="D51" s="30"/>
      <c r="E51" s="30"/>
      <c r="F51" s="30"/>
      <c r="G51" s="30"/>
      <c r="H51" s="30"/>
      <c r="I51" s="30"/>
      <c r="J51" s="30"/>
      <c r="K51" s="30"/>
      <c r="L51" s="30"/>
      <c r="M51" s="30"/>
      <c r="N51" s="30"/>
    </row>
    <row r="52" spans="1:14" ht="12.75">
      <c r="A52" s="30"/>
      <c r="B52" s="30"/>
      <c r="C52" s="30"/>
      <c r="D52" s="30"/>
      <c r="E52" s="30"/>
      <c r="F52" s="30"/>
      <c r="G52" s="30"/>
      <c r="H52" s="30"/>
      <c r="I52" s="30"/>
      <c r="J52" s="30"/>
      <c r="K52" s="30"/>
      <c r="L52" s="30"/>
      <c r="M52" s="30"/>
      <c r="N52" s="30"/>
    </row>
    <row r="53" spans="1:14" ht="12.75">
      <c r="A53" s="30"/>
      <c r="B53" s="30"/>
      <c r="C53" s="30"/>
      <c r="D53" s="30"/>
      <c r="E53" s="30"/>
      <c r="F53" s="30"/>
      <c r="G53" s="30"/>
      <c r="H53" s="30"/>
      <c r="I53" s="30"/>
      <c r="J53" s="30"/>
      <c r="K53" s="30"/>
      <c r="L53" s="30"/>
      <c r="M53" s="30"/>
      <c r="N53" s="30"/>
    </row>
    <row r="54" spans="1:14" ht="12.75">
      <c r="A54" s="30"/>
      <c r="B54" s="30"/>
      <c r="C54" s="30"/>
      <c r="D54" s="30"/>
      <c r="E54" s="30"/>
      <c r="F54" s="30"/>
      <c r="G54" s="30"/>
      <c r="H54" s="30"/>
      <c r="I54" s="30"/>
      <c r="J54" s="30"/>
      <c r="K54" s="30"/>
      <c r="L54" s="30"/>
      <c r="M54" s="30"/>
      <c r="N54" s="30"/>
    </row>
    <row r="55" spans="1:14" ht="12.75">
      <c r="A55" s="30"/>
      <c r="B55" s="30"/>
      <c r="C55" s="30"/>
      <c r="D55" s="30"/>
      <c r="E55" s="30"/>
      <c r="F55" s="30"/>
      <c r="G55" s="30"/>
      <c r="H55" s="30"/>
      <c r="I55" s="30"/>
      <c r="J55" s="30"/>
      <c r="K55" s="30"/>
      <c r="L55" s="30"/>
      <c r="M55" s="30"/>
      <c r="N55" s="30"/>
    </row>
    <row r="56" spans="1:14" ht="12.75">
      <c r="A56" s="30"/>
      <c r="B56" s="30"/>
      <c r="C56" s="30"/>
      <c r="D56" s="30"/>
      <c r="E56" s="30"/>
      <c r="F56" s="30"/>
      <c r="G56" s="30"/>
      <c r="H56" s="30"/>
      <c r="I56" s="30"/>
      <c r="J56" s="30"/>
      <c r="K56" s="30"/>
      <c r="L56" s="30"/>
      <c r="M56" s="30"/>
      <c r="N56" s="30"/>
    </row>
    <row r="57" spans="1:14" ht="12.75">
      <c r="A57" s="30"/>
      <c r="B57" s="30"/>
      <c r="C57" s="30"/>
      <c r="D57" s="30"/>
      <c r="E57" s="30"/>
      <c r="F57" s="30"/>
      <c r="G57" s="30"/>
      <c r="H57" s="30"/>
      <c r="I57" s="30"/>
      <c r="J57" s="30"/>
      <c r="K57" s="30"/>
      <c r="L57" s="30"/>
      <c r="M57" s="30"/>
      <c r="N57" s="30"/>
    </row>
    <row r="58" spans="1:14" ht="12.75">
      <c r="A58" s="30"/>
      <c r="B58" s="30"/>
      <c r="C58" s="30"/>
      <c r="D58" s="30"/>
      <c r="E58" s="30"/>
      <c r="F58" s="30"/>
      <c r="G58" s="30"/>
      <c r="H58" s="30"/>
      <c r="I58" s="30"/>
      <c r="J58" s="30"/>
      <c r="K58" s="30"/>
      <c r="L58" s="30"/>
      <c r="M58" s="30"/>
      <c r="N58" s="30"/>
    </row>
    <row r="59" spans="1:14" ht="12.75">
      <c r="A59" s="30"/>
      <c r="B59" s="30"/>
      <c r="C59" s="30"/>
      <c r="D59" s="30"/>
      <c r="E59" s="30"/>
      <c r="F59" s="30"/>
      <c r="G59" s="30"/>
      <c r="H59" s="30"/>
      <c r="I59" s="30"/>
      <c r="J59" s="30"/>
      <c r="K59" s="30"/>
      <c r="L59" s="30"/>
      <c r="M59" s="30"/>
      <c r="N59" s="30"/>
    </row>
    <row r="60" spans="1:14" ht="12.75">
      <c r="A60" s="30"/>
      <c r="B60" s="30"/>
      <c r="C60" s="30"/>
      <c r="D60" s="30"/>
      <c r="E60" s="30"/>
      <c r="F60" s="30"/>
      <c r="G60" s="30"/>
      <c r="H60" s="30"/>
      <c r="I60" s="30"/>
      <c r="J60" s="30"/>
      <c r="K60" s="30"/>
      <c r="L60" s="30"/>
      <c r="M60" s="30"/>
      <c r="N60" s="30"/>
    </row>
    <row r="61" spans="1:14" ht="12.75">
      <c r="A61" s="30"/>
      <c r="B61" s="30"/>
      <c r="C61" s="30"/>
      <c r="D61" s="30"/>
      <c r="E61" s="30"/>
      <c r="F61" s="30"/>
      <c r="G61" s="30"/>
      <c r="H61" s="30"/>
      <c r="I61" s="30"/>
      <c r="J61" s="30"/>
      <c r="K61" s="30"/>
      <c r="L61" s="30"/>
      <c r="M61" s="30"/>
      <c r="N61" s="30"/>
    </row>
    <row r="62" spans="1:14" ht="12.75">
      <c r="A62" s="30"/>
      <c r="B62" s="30"/>
      <c r="C62" s="30"/>
      <c r="D62" s="30"/>
      <c r="E62" s="30"/>
      <c r="F62" s="30"/>
      <c r="G62" s="30"/>
      <c r="H62" s="30"/>
      <c r="I62" s="30"/>
      <c r="J62" s="30"/>
      <c r="K62" s="30"/>
      <c r="L62" s="30"/>
      <c r="M62" s="30"/>
      <c r="N62" s="30"/>
    </row>
    <row r="63" spans="1:14" ht="12.75">
      <c r="A63" s="30"/>
      <c r="B63" s="30"/>
      <c r="C63" s="30"/>
      <c r="D63" s="30"/>
      <c r="E63" s="30"/>
      <c r="F63" s="30"/>
      <c r="G63" s="30"/>
      <c r="H63" s="30"/>
      <c r="I63" s="30"/>
      <c r="J63" s="30"/>
      <c r="K63" s="30"/>
      <c r="L63" s="30"/>
      <c r="M63" s="30"/>
      <c r="N63" s="30"/>
    </row>
    <row r="64" spans="1:14" ht="12.75">
      <c r="A64" s="30"/>
      <c r="B64" s="30"/>
      <c r="C64" s="30"/>
      <c r="D64" s="30"/>
      <c r="E64" s="30"/>
      <c r="F64" s="30"/>
      <c r="G64" s="30"/>
      <c r="H64" s="30"/>
      <c r="I64" s="30"/>
      <c r="J64" s="30"/>
      <c r="K64" s="30"/>
      <c r="L64" s="30"/>
      <c r="M64" s="30"/>
      <c r="N64" s="30"/>
    </row>
    <row r="65" spans="1:14" ht="12.75">
      <c r="A65" s="30"/>
      <c r="B65" s="30"/>
      <c r="C65" s="30"/>
      <c r="D65" s="30"/>
      <c r="E65" s="30"/>
      <c r="F65" s="30"/>
      <c r="G65" s="30"/>
      <c r="H65" s="30"/>
      <c r="I65" s="30"/>
      <c r="J65" s="30"/>
      <c r="K65" s="30"/>
      <c r="L65" s="30"/>
      <c r="M65" s="30"/>
      <c r="N65" s="30"/>
    </row>
    <row r="66" spans="1:14" ht="12.75">
      <c r="A66" s="30"/>
      <c r="B66" s="30"/>
      <c r="C66" s="30"/>
      <c r="D66" s="30"/>
      <c r="E66" s="30"/>
      <c r="F66" s="30"/>
      <c r="G66" s="30"/>
      <c r="H66" s="30"/>
      <c r="I66" s="30"/>
      <c r="J66" s="30"/>
      <c r="K66" s="30"/>
      <c r="L66" s="30"/>
      <c r="M66" s="30"/>
      <c r="N66" s="30"/>
    </row>
    <row r="67" spans="1:14" ht="12.75">
      <c r="A67" s="30"/>
      <c r="B67" s="30"/>
      <c r="C67" s="30"/>
      <c r="D67" s="30"/>
      <c r="E67" s="30"/>
      <c r="F67" s="30"/>
      <c r="G67" s="30"/>
      <c r="H67" s="30"/>
      <c r="I67" s="30"/>
      <c r="J67" s="30"/>
      <c r="K67" s="30"/>
      <c r="L67" s="30"/>
      <c r="M67" s="30"/>
      <c r="N67" s="30"/>
    </row>
    <row r="68" spans="1:14" ht="12.75">
      <c r="A68" s="30"/>
      <c r="B68" s="30"/>
      <c r="C68" s="30"/>
      <c r="D68" s="30"/>
      <c r="E68" s="30"/>
      <c r="F68" s="30"/>
      <c r="G68" s="30"/>
      <c r="H68" s="30"/>
      <c r="I68" s="30"/>
      <c r="J68" s="30"/>
      <c r="K68" s="30"/>
      <c r="L68" s="30"/>
      <c r="M68" s="30"/>
      <c r="N68" s="30"/>
    </row>
    <row r="69" spans="1:14" ht="12.75">
      <c r="A69" s="30"/>
      <c r="B69" s="30"/>
      <c r="C69" s="30"/>
      <c r="D69" s="30"/>
      <c r="E69" s="30"/>
      <c r="F69" s="30"/>
      <c r="G69" s="30"/>
      <c r="H69" s="30"/>
      <c r="I69" s="30"/>
      <c r="J69" s="30"/>
      <c r="K69" s="30"/>
      <c r="L69" s="30"/>
      <c r="M69" s="30"/>
      <c r="N69" s="30"/>
    </row>
    <row r="70" spans="1:14" ht="12.75">
      <c r="A70" s="30"/>
      <c r="B70" s="30"/>
      <c r="C70" s="30"/>
      <c r="D70" s="30"/>
      <c r="E70" s="30"/>
      <c r="F70" s="30"/>
      <c r="G70" s="30"/>
      <c r="H70" s="30"/>
      <c r="I70" s="30"/>
      <c r="J70" s="30"/>
      <c r="K70" s="30"/>
      <c r="L70" s="30"/>
      <c r="M70" s="30"/>
      <c r="N70" s="30"/>
    </row>
    <row r="71" spans="1:14" ht="12.75">
      <c r="A71" s="30"/>
      <c r="B71" s="30"/>
      <c r="C71" s="30"/>
      <c r="D71" s="30"/>
      <c r="E71" s="30"/>
      <c r="F71" s="30"/>
      <c r="G71" s="30"/>
      <c r="H71" s="30"/>
      <c r="I71" s="30"/>
      <c r="J71" s="30"/>
      <c r="K71" s="30"/>
      <c r="L71" s="30"/>
      <c r="M71" s="30"/>
      <c r="N71" s="30"/>
    </row>
    <row r="72" spans="1:14" ht="12.75">
      <c r="A72" s="30"/>
      <c r="B72" s="30"/>
      <c r="C72" s="30"/>
      <c r="D72" s="30"/>
      <c r="E72" s="30"/>
      <c r="F72" s="30"/>
      <c r="G72" s="30"/>
      <c r="H72" s="30"/>
      <c r="I72" s="30"/>
      <c r="J72" s="30"/>
      <c r="K72" s="30"/>
      <c r="L72" s="30"/>
      <c r="M72" s="30"/>
      <c r="N72" s="30"/>
    </row>
    <row r="73" spans="1:14" ht="12.75">
      <c r="A73" s="30"/>
      <c r="B73" s="30"/>
      <c r="C73" s="30"/>
      <c r="D73" s="30"/>
      <c r="E73" s="30"/>
      <c r="F73" s="30"/>
      <c r="G73" s="30"/>
      <c r="H73" s="30"/>
      <c r="I73" s="30"/>
      <c r="J73" s="30"/>
      <c r="K73" s="30"/>
      <c r="L73" s="30"/>
      <c r="M73" s="30"/>
      <c r="N73" s="30"/>
    </row>
    <row r="74" spans="1:14" ht="12.75">
      <c r="A74" s="30"/>
      <c r="B74" s="30"/>
      <c r="C74" s="30"/>
      <c r="D74" s="30"/>
      <c r="E74" s="30"/>
      <c r="F74" s="30"/>
      <c r="G74" s="30"/>
      <c r="H74" s="30"/>
      <c r="I74" s="30"/>
      <c r="J74" s="30"/>
      <c r="K74" s="30"/>
      <c r="L74" s="30"/>
      <c r="M74" s="30"/>
      <c r="N74" s="30"/>
    </row>
    <row r="75" spans="1:14" ht="12.75">
      <c r="A75" s="30"/>
      <c r="B75" s="30"/>
      <c r="C75" s="30"/>
      <c r="D75" s="30"/>
      <c r="E75" s="30"/>
      <c r="F75" s="30"/>
      <c r="G75" s="30"/>
      <c r="H75" s="30"/>
      <c r="I75" s="30"/>
      <c r="J75" s="30"/>
      <c r="K75" s="30"/>
      <c r="L75" s="30"/>
      <c r="M75" s="30"/>
      <c r="N75" s="30"/>
    </row>
    <row r="76" spans="1:14" ht="12.75">
      <c r="A76" s="30"/>
      <c r="B76" s="30"/>
      <c r="C76" s="30"/>
      <c r="D76" s="30"/>
      <c r="E76" s="30"/>
      <c r="F76" s="30"/>
      <c r="G76" s="30"/>
      <c r="H76" s="30"/>
      <c r="I76" s="30"/>
      <c r="J76" s="30"/>
      <c r="K76" s="30"/>
      <c r="L76" s="30"/>
      <c r="M76" s="30"/>
      <c r="N76" s="30"/>
    </row>
    <row r="77" spans="1:14" ht="12.75">
      <c r="A77" s="30"/>
      <c r="B77" s="30"/>
      <c r="C77" s="30"/>
      <c r="D77" s="30"/>
      <c r="E77" s="30"/>
      <c r="F77" s="30"/>
      <c r="G77" s="30"/>
      <c r="H77" s="30"/>
      <c r="I77" s="30"/>
      <c r="J77" s="30"/>
      <c r="K77" s="30"/>
      <c r="L77" s="30"/>
      <c r="M77" s="30"/>
      <c r="N77" s="30"/>
    </row>
    <row r="78" spans="1:14" ht="12.75">
      <c r="A78" s="30"/>
      <c r="B78" s="30"/>
      <c r="C78" s="30"/>
      <c r="D78" s="30"/>
      <c r="E78" s="30"/>
      <c r="F78" s="30"/>
      <c r="G78" s="30"/>
      <c r="H78" s="30"/>
      <c r="I78" s="30"/>
      <c r="J78" s="30"/>
      <c r="K78" s="30"/>
      <c r="L78" s="30"/>
      <c r="M78" s="30"/>
      <c r="N78" s="30"/>
    </row>
    <row r="79" spans="1:14" ht="12.75">
      <c r="A79" s="30"/>
      <c r="B79" s="30"/>
      <c r="C79" s="30"/>
      <c r="D79" s="30"/>
      <c r="E79" s="30"/>
      <c r="F79" s="30"/>
      <c r="G79" s="30"/>
      <c r="H79" s="30"/>
      <c r="I79" s="30"/>
      <c r="J79" s="30"/>
      <c r="K79" s="30"/>
      <c r="L79" s="30"/>
      <c r="M79" s="30"/>
      <c r="N79" s="30"/>
    </row>
    <row r="80" spans="1:14" ht="12.75">
      <c r="A80" s="30"/>
      <c r="B80" s="30"/>
      <c r="C80" s="30"/>
      <c r="D80" s="30"/>
      <c r="E80" s="30"/>
      <c r="F80" s="30"/>
      <c r="G80" s="30"/>
      <c r="H80" s="30"/>
      <c r="I80" s="30"/>
      <c r="J80" s="30"/>
      <c r="K80" s="30"/>
      <c r="L80" s="30"/>
      <c r="M80" s="30"/>
      <c r="N80" s="30"/>
    </row>
    <row r="81" spans="1:14" ht="12.75">
      <c r="A81" s="30"/>
      <c r="B81" s="30"/>
      <c r="C81" s="30"/>
      <c r="D81" s="30"/>
      <c r="E81" s="30"/>
      <c r="F81" s="30"/>
      <c r="G81" s="30"/>
      <c r="H81" s="30"/>
      <c r="I81" s="30"/>
      <c r="J81" s="30"/>
      <c r="K81" s="30"/>
      <c r="L81" s="30"/>
      <c r="M81" s="30"/>
      <c r="N81" s="30"/>
    </row>
    <row r="82" spans="1:14" ht="12.75">
      <c r="A82" s="30"/>
      <c r="B82" s="30"/>
      <c r="C82" s="30"/>
      <c r="D82" s="30"/>
      <c r="E82" s="30"/>
      <c r="F82" s="30"/>
      <c r="G82" s="30"/>
      <c r="H82" s="30"/>
      <c r="I82" s="30"/>
      <c r="J82" s="30"/>
      <c r="K82" s="30"/>
      <c r="L82" s="30"/>
      <c r="M82" s="30"/>
      <c r="N82" s="30"/>
    </row>
    <row r="83" spans="1:14" ht="12.75">
      <c r="A83" s="30"/>
      <c r="B83" s="30"/>
      <c r="C83" s="30"/>
      <c r="D83" s="30"/>
      <c r="E83" s="30"/>
      <c r="F83" s="30"/>
      <c r="G83" s="30"/>
      <c r="H83" s="30"/>
      <c r="I83" s="30"/>
      <c r="J83" s="30"/>
      <c r="K83" s="30"/>
      <c r="L83" s="30"/>
      <c r="M83" s="30"/>
      <c r="N83" s="30"/>
    </row>
    <row r="84" spans="1:14" ht="12.75">
      <c r="A84" s="30"/>
      <c r="B84" s="30"/>
      <c r="C84" s="30"/>
      <c r="D84" s="30"/>
      <c r="E84" s="30"/>
      <c r="F84" s="30"/>
      <c r="G84" s="30"/>
      <c r="H84" s="30"/>
      <c r="I84" s="30"/>
      <c r="J84" s="30"/>
      <c r="K84" s="30"/>
      <c r="L84" s="30"/>
      <c r="M84" s="30"/>
      <c r="N84" s="30"/>
    </row>
    <row r="85" spans="1:14" ht="12.75">
      <c r="A85" s="30"/>
      <c r="B85" s="30"/>
      <c r="C85" s="30"/>
      <c r="D85" s="30"/>
      <c r="E85" s="30"/>
      <c r="F85" s="30"/>
      <c r="G85" s="30"/>
      <c r="H85" s="30"/>
      <c r="I85" s="30"/>
      <c r="J85" s="30"/>
      <c r="K85" s="30"/>
      <c r="L85" s="30"/>
      <c r="M85" s="30"/>
      <c r="N85" s="30"/>
    </row>
    <row r="86" spans="1:14" ht="12.75">
      <c r="A86" s="30"/>
      <c r="B86" s="30"/>
      <c r="C86" s="30"/>
      <c r="D86" s="30"/>
      <c r="E86" s="30"/>
      <c r="F86" s="30"/>
      <c r="G86" s="30"/>
      <c r="H86" s="30"/>
      <c r="I86" s="30"/>
      <c r="J86" s="30"/>
      <c r="K86" s="30"/>
      <c r="L86" s="30"/>
      <c r="M86" s="30"/>
      <c r="N86" s="30"/>
    </row>
    <row r="87" spans="1:14" ht="12.75">
      <c r="A87" s="30"/>
      <c r="B87" s="30"/>
      <c r="C87" s="30"/>
      <c r="D87" s="30"/>
      <c r="E87" s="30"/>
      <c r="F87" s="30"/>
      <c r="G87" s="30"/>
      <c r="H87" s="30"/>
      <c r="I87" s="30"/>
      <c r="J87" s="30"/>
      <c r="K87" s="30"/>
      <c r="L87" s="30"/>
      <c r="M87" s="30"/>
      <c r="N87" s="30"/>
    </row>
    <row r="88" spans="1:14" ht="12.75">
      <c r="A88" s="30"/>
      <c r="B88" s="30"/>
      <c r="C88" s="30"/>
      <c r="D88" s="30"/>
      <c r="E88" s="30"/>
      <c r="F88" s="30"/>
      <c r="G88" s="30"/>
      <c r="H88" s="30"/>
      <c r="I88" s="30"/>
      <c r="J88" s="30"/>
      <c r="K88" s="30"/>
      <c r="L88" s="30"/>
      <c r="M88" s="30"/>
      <c r="N88" s="30"/>
    </row>
    <row r="89" spans="1:14" ht="12.75">
      <c r="A89" s="30"/>
      <c r="B89" s="30"/>
      <c r="C89" s="30"/>
      <c r="D89" s="30"/>
      <c r="E89" s="30"/>
      <c r="F89" s="30"/>
      <c r="G89" s="30"/>
      <c r="H89" s="30"/>
      <c r="I89" s="30"/>
      <c r="J89" s="30"/>
      <c r="K89" s="30"/>
      <c r="L89" s="30"/>
      <c r="M89" s="30"/>
      <c r="N89" s="30"/>
    </row>
    <row r="90" spans="1:14" ht="12.75">
      <c r="A90" s="30"/>
      <c r="B90" s="30"/>
      <c r="C90" s="30"/>
      <c r="D90" s="30"/>
      <c r="E90" s="30"/>
      <c r="F90" s="30"/>
      <c r="G90" s="30"/>
      <c r="H90" s="30"/>
      <c r="I90" s="30"/>
      <c r="J90" s="30"/>
      <c r="K90" s="30"/>
      <c r="L90" s="30"/>
      <c r="M90" s="30"/>
      <c r="N90" s="30"/>
    </row>
    <row r="91" spans="1:14" ht="12.75">
      <c r="A91" s="30"/>
      <c r="B91" s="30"/>
      <c r="C91" s="30"/>
      <c r="D91" s="30"/>
      <c r="E91" s="30"/>
      <c r="F91" s="30"/>
      <c r="G91" s="30"/>
      <c r="H91" s="30"/>
      <c r="I91" s="30"/>
      <c r="J91" s="30"/>
      <c r="K91" s="30"/>
      <c r="L91" s="30"/>
      <c r="M91" s="30"/>
      <c r="N91" s="30"/>
    </row>
    <row r="92" spans="1:14" ht="12.75">
      <c r="A92" s="30"/>
      <c r="B92" s="30"/>
      <c r="C92" s="30"/>
      <c r="D92" s="30"/>
      <c r="E92" s="30"/>
      <c r="F92" s="30"/>
      <c r="G92" s="30"/>
      <c r="H92" s="30"/>
      <c r="I92" s="30"/>
      <c r="J92" s="30"/>
      <c r="K92" s="30"/>
      <c r="L92" s="30"/>
      <c r="M92" s="30"/>
      <c r="N92" s="30"/>
    </row>
    <row r="93" spans="1:14" ht="12.75">
      <c r="A93" s="30"/>
      <c r="B93" s="30"/>
      <c r="C93" s="30"/>
      <c r="D93" s="30"/>
      <c r="E93" s="30"/>
      <c r="F93" s="30"/>
      <c r="G93" s="30"/>
      <c r="H93" s="30"/>
      <c r="I93" s="30"/>
      <c r="J93" s="30"/>
      <c r="K93" s="30"/>
      <c r="L93" s="30"/>
      <c r="M93" s="30"/>
      <c r="N93" s="30"/>
    </row>
    <row r="94" spans="1:14" ht="12.75">
      <c r="A94" s="30"/>
      <c r="B94" s="30"/>
      <c r="C94" s="30"/>
      <c r="D94" s="30"/>
      <c r="E94" s="30"/>
      <c r="F94" s="30"/>
      <c r="G94" s="30"/>
      <c r="H94" s="30"/>
      <c r="I94" s="30"/>
      <c r="J94" s="30"/>
      <c r="K94" s="30"/>
      <c r="L94" s="30"/>
      <c r="M94" s="30"/>
      <c r="N94" s="30"/>
    </row>
    <row r="95" spans="1:14" ht="12.75">
      <c r="A95" s="30"/>
      <c r="B95" s="30"/>
      <c r="C95" s="30"/>
      <c r="D95" s="30"/>
      <c r="E95" s="30"/>
      <c r="F95" s="30"/>
      <c r="G95" s="30"/>
      <c r="H95" s="30"/>
      <c r="I95" s="30"/>
      <c r="J95" s="30"/>
      <c r="K95" s="30"/>
      <c r="L95" s="30"/>
      <c r="M95" s="30"/>
      <c r="N95" s="30"/>
    </row>
    <row r="96" spans="1:14" ht="12.75">
      <c r="A96" s="30"/>
      <c r="B96" s="30"/>
      <c r="C96" s="30"/>
      <c r="D96" s="30"/>
      <c r="E96" s="30"/>
      <c r="F96" s="30"/>
      <c r="G96" s="30"/>
      <c r="H96" s="30"/>
      <c r="I96" s="30"/>
      <c r="J96" s="30"/>
      <c r="K96" s="30"/>
      <c r="L96" s="30"/>
      <c r="M96" s="30"/>
      <c r="N96" s="30"/>
    </row>
    <row r="97" spans="1:14" ht="12.75">
      <c r="A97" s="30"/>
      <c r="B97" s="30"/>
      <c r="C97" s="30"/>
      <c r="D97" s="30"/>
      <c r="E97" s="30"/>
      <c r="F97" s="30"/>
      <c r="G97" s="30"/>
      <c r="H97" s="30"/>
      <c r="I97" s="30"/>
      <c r="J97" s="30"/>
      <c r="K97" s="30"/>
      <c r="L97" s="30"/>
      <c r="M97" s="30"/>
      <c r="N97" s="30"/>
    </row>
    <row r="98" spans="1:14" ht="12.75">
      <c r="A98" s="30"/>
      <c r="B98" s="30"/>
      <c r="C98" s="30"/>
      <c r="D98" s="30"/>
      <c r="E98" s="30"/>
      <c r="F98" s="30"/>
      <c r="G98" s="30"/>
      <c r="H98" s="30"/>
      <c r="I98" s="30"/>
      <c r="J98" s="30"/>
      <c r="K98" s="30"/>
      <c r="L98" s="30"/>
      <c r="M98" s="30"/>
      <c r="N98" s="30"/>
    </row>
    <row r="99" spans="1:14" ht="12.75">
      <c r="A99" s="30"/>
      <c r="B99" s="30"/>
      <c r="C99" s="30"/>
      <c r="D99" s="30"/>
      <c r="E99" s="30"/>
      <c r="F99" s="30"/>
      <c r="G99" s="30"/>
      <c r="H99" s="30"/>
      <c r="I99" s="30"/>
      <c r="J99" s="30"/>
      <c r="K99" s="30"/>
      <c r="L99" s="30"/>
      <c r="M99" s="30"/>
      <c r="N99" s="30"/>
    </row>
    <row r="100" spans="1:14" ht="12.75">
      <c r="A100" s="30"/>
      <c r="B100" s="30"/>
      <c r="C100" s="30"/>
      <c r="D100" s="30"/>
      <c r="E100" s="30"/>
      <c r="F100" s="30"/>
      <c r="G100" s="30"/>
      <c r="H100" s="30"/>
      <c r="I100" s="30"/>
      <c r="J100" s="30"/>
      <c r="K100" s="30"/>
      <c r="L100" s="30"/>
      <c r="M100" s="30"/>
      <c r="N100" s="30"/>
    </row>
    <row r="101" spans="1:14" ht="12.75">
      <c r="A101" s="30"/>
      <c r="B101" s="30"/>
      <c r="C101" s="30"/>
      <c r="D101" s="30"/>
      <c r="E101" s="30"/>
      <c r="F101" s="30"/>
      <c r="G101" s="30"/>
      <c r="H101" s="30"/>
      <c r="I101" s="30"/>
      <c r="J101" s="30"/>
      <c r="K101" s="30"/>
      <c r="L101" s="30"/>
      <c r="M101" s="30"/>
      <c r="N101" s="30"/>
    </row>
    <row r="102" spans="1:14" ht="12.75">
      <c r="A102" s="30"/>
      <c r="B102" s="30"/>
      <c r="C102" s="30"/>
      <c r="D102" s="30"/>
      <c r="E102" s="30"/>
      <c r="F102" s="30"/>
      <c r="G102" s="30"/>
      <c r="H102" s="30"/>
      <c r="I102" s="30"/>
      <c r="J102" s="30"/>
      <c r="K102" s="30"/>
      <c r="L102" s="30"/>
      <c r="M102" s="30"/>
      <c r="N102" s="30"/>
    </row>
    <row r="103" spans="1:14" ht="12.75">
      <c r="A103" s="30"/>
      <c r="B103" s="30"/>
      <c r="C103" s="30"/>
      <c r="D103" s="30"/>
      <c r="E103" s="30"/>
      <c r="F103" s="30"/>
      <c r="G103" s="30"/>
      <c r="H103" s="30"/>
      <c r="I103" s="30"/>
      <c r="J103" s="30"/>
      <c r="K103" s="30"/>
      <c r="L103" s="30"/>
      <c r="M103" s="30"/>
      <c r="N103" s="30"/>
    </row>
    <row r="104" spans="1:14" ht="12.75">
      <c r="A104" s="30"/>
      <c r="B104" s="30"/>
      <c r="C104" s="30"/>
      <c r="D104" s="30"/>
      <c r="E104" s="30"/>
      <c r="F104" s="30"/>
      <c r="G104" s="30"/>
      <c r="H104" s="30"/>
      <c r="I104" s="30"/>
      <c r="J104" s="30"/>
      <c r="K104" s="30"/>
      <c r="L104" s="30"/>
      <c r="M104" s="30"/>
      <c r="N104" s="30"/>
    </row>
    <row r="105" spans="1:14" ht="12.75">
      <c r="A105" s="30"/>
      <c r="B105" s="30"/>
      <c r="C105" s="30"/>
      <c r="D105" s="30"/>
      <c r="E105" s="30"/>
      <c r="F105" s="30"/>
      <c r="G105" s="30"/>
      <c r="H105" s="30"/>
      <c r="I105" s="30"/>
      <c r="J105" s="30"/>
      <c r="K105" s="30"/>
      <c r="L105" s="30"/>
      <c r="M105" s="30"/>
      <c r="N105" s="30"/>
    </row>
    <row r="106" spans="1:14" ht="12.75">
      <c r="A106" s="30"/>
      <c r="B106" s="30"/>
      <c r="C106" s="30"/>
      <c r="D106" s="30"/>
      <c r="E106" s="30"/>
      <c r="F106" s="30"/>
      <c r="G106" s="30"/>
      <c r="H106" s="30"/>
      <c r="I106" s="30"/>
      <c r="J106" s="30"/>
      <c r="K106" s="30"/>
      <c r="L106" s="30"/>
      <c r="M106" s="30"/>
      <c r="N106" s="30"/>
    </row>
    <row r="107" spans="1:14" ht="12.75">
      <c r="A107" s="30"/>
      <c r="B107" s="30"/>
      <c r="C107" s="30"/>
      <c r="D107" s="30"/>
      <c r="E107" s="30"/>
      <c r="F107" s="30"/>
      <c r="G107" s="30"/>
      <c r="H107" s="30"/>
      <c r="I107" s="30"/>
      <c r="J107" s="30"/>
      <c r="K107" s="30"/>
      <c r="L107" s="30"/>
      <c r="M107" s="30"/>
      <c r="N107" s="30"/>
    </row>
    <row r="108" spans="1:14" ht="12.75">
      <c r="A108" s="30"/>
      <c r="B108" s="30"/>
      <c r="C108" s="30"/>
      <c r="D108" s="30"/>
      <c r="E108" s="30"/>
      <c r="F108" s="30"/>
      <c r="G108" s="30"/>
      <c r="H108" s="30"/>
      <c r="I108" s="30"/>
      <c r="J108" s="30"/>
      <c r="K108" s="30"/>
      <c r="L108" s="30"/>
      <c r="M108" s="30"/>
      <c r="N108" s="30"/>
    </row>
    <row r="109" spans="1:14" ht="12.75">
      <c r="A109" s="30"/>
      <c r="B109" s="30"/>
      <c r="C109" s="30"/>
      <c r="D109" s="30"/>
      <c r="E109" s="30"/>
      <c r="F109" s="30"/>
      <c r="G109" s="30"/>
      <c r="H109" s="30"/>
      <c r="I109" s="30"/>
      <c r="J109" s="30"/>
      <c r="K109" s="30"/>
      <c r="L109" s="30"/>
      <c r="M109" s="30"/>
      <c r="N109" s="30"/>
    </row>
    <row r="110" spans="1:14" ht="12.75">
      <c r="A110" s="30"/>
      <c r="B110" s="30"/>
      <c r="C110" s="30"/>
      <c r="D110" s="30"/>
      <c r="E110" s="30"/>
      <c r="F110" s="30"/>
      <c r="G110" s="30"/>
      <c r="H110" s="30"/>
      <c r="I110" s="30"/>
      <c r="J110" s="30"/>
      <c r="K110" s="30"/>
      <c r="L110" s="30"/>
      <c r="M110" s="30"/>
      <c r="N110" s="30"/>
    </row>
    <row r="111" spans="1:14" ht="12.75">
      <c r="A111" s="30"/>
      <c r="B111" s="30"/>
      <c r="C111" s="30"/>
      <c r="D111" s="30"/>
      <c r="E111" s="30"/>
      <c r="F111" s="30"/>
      <c r="G111" s="30"/>
      <c r="H111" s="30"/>
      <c r="I111" s="30"/>
      <c r="J111" s="30"/>
      <c r="K111" s="30"/>
      <c r="L111" s="30"/>
      <c r="M111" s="30"/>
      <c r="N111" s="30"/>
    </row>
    <row r="112" spans="1:14" ht="12.75">
      <c r="A112" s="30"/>
      <c r="B112" s="30"/>
      <c r="C112" s="30"/>
      <c r="D112" s="30"/>
      <c r="E112" s="30"/>
      <c r="F112" s="30"/>
      <c r="G112" s="30"/>
      <c r="H112" s="30"/>
      <c r="I112" s="30"/>
      <c r="J112" s="30"/>
      <c r="K112" s="30"/>
      <c r="L112" s="30"/>
      <c r="M112" s="30"/>
      <c r="N112" s="30"/>
    </row>
    <row r="113" spans="1:14" ht="12.75">
      <c r="A113" s="30"/>
      <c r="B113" s="30"/>
      <c r="C113" s="30"/>
      <c r="D113" s="30"/>
      <c r="E113" s="30"/>
      <c r="F113" s="30"/>
      <c r="G113" s="30"/>
      <c r="H113" s="30"/>
      <c r="I113" s="30"/>
      <c r="J113" s="30"/>
      <c r="K113" s="30"/>
      <c r="L113" s="30"/>
      <c r="M113" s="30"/>
      <c r="N113" s="30"/>
    </row>
    <row r="114" spans="1:14" ht="12.75">
      <c r="A114" s="30"/>
      <c r="B114" s="30"/>
      <c r="C114" s="30"/>
      <c r="D114" s="30"/>
      <c r="E114" s="30"/>
      <c r="F114" s="30"/>
      <c r="G114" s="30"/>
      <c r="H114" s="30"/>
      <c r="I114" s="30"/>
      <c r="J114" s="30"/>
      <c r="K114" s="30"/>
      <c r="L114" s="30"/>
      <c r="M114" s="30"/>
      <c r="N114" s="30"/>
    </row>
    <row r="115" spans="1:14" ht="12.75">
      <c r="A115" s="30"/>
      <c r="B115" s="30"/>
      <c r="C115" s="30"/>
      <c r="D115" s="30"/>
      <c r="E115" s="30"/>
      <c r="F115" s="30"/>
      <c r="G115" s="30"/>
      <c r="H115" s="30"/>
      <c r="I115" s="30"/>
      <c r="J115" s="30"/>
      <c r="K115" s="30"/>
      <c r="L115" s="30"/>
      <c r="M115" s="30"/>
      <c r="N115" s="30"/>
    </row>
    <row r="116" spans="1:14" ht="12.75">
      <c r="A116" s="30"/>
      <c r="B116" s="30"/>
      <c r="C116" s="30"/>
      <c r="D116" s="30"/>
      <c r="E116" s="30"/>
      <c r="F116" s="30"/>
      <c r="G116" s="30"/>
      <c r="H116" s="30"/>
      <c r="I116" s="30"/>
      <c r="J116" s="30"/>
      <c r="K116" s="30"/>
      <c r="L116" s="30"/>
      <c r="M116" s="30"/>
      <c r="N116" s="30"/>
    </row>
    <row r="117" spans="1:14" ht="12.75">
      <c r="A117" s="30"/>
      <c r="B117" s="30"/>
      <c r="C117" s="30"/>
      <c r="D117" s="30"/>
      <c r="E117" s="30"/>
      <c r="F117" s="30"/>
      <c r="G117" s="30"/>
      <c r="H117" s="30"/>
      <c r="I117" s="30"/>
      <c r="J117" s="30"/>
      <c r="K117" s="30"/>
      <c r="L117" s="30"/>
      <c r="M117" s="30"/>
      <c r="N117" s="30"/>
    </row>
    <row r="118" spans="1:14" ht="12.75">
      <c r="A118" s="30"/>
      <c r="B118" s="30"/>
      <c r="C118" s="30"/>
      <c r="D118" s="30"/>
      <c r="E118" s="30"/>
      <c r="F118" s="30"/>
      <c r="G118" s="30"/>
      <c r="H118" s="30"/>
      <c r="I118" s="30"/>
      <c r="J118" s="30"/>
      <c r="K118" s="30"/>
      <c r="L118" s="30"/>
      <c r="M118" s="30"/>
      <c r="N118" s="30"/>
    </row>
    <row r="119" spans="1:14" ht="12.75">
      <c r="A119" s="30"/>
      <c r="B119" s="30"/>
      <c r="C119" s="30"/>
      <c r="D119" s="30"/>
      <c r="E119" s="30"/>
      <c r="F119" s="30"/>
      <c r="G119" s="30"/>
      <c r="H119" s="30"/>
      <c r="I119" s="30"/>
      <c r="J119" s="30"/>
      <c r="K119" s="30"/>
      <c r="L119" s="30"/>
      <c r="M119" s="30"/>
      <c r="N119" s="30"/>
    </row>
    <row r="120" spans="1:14" ht="12.75">
      <c r="A120" s="30"/>
      <c r="B120" s="30"/>
      <c r="C120" s="30"/>
      <c r="D120" s="30"/>
      <c r="E120" s="30"/>
      <c r="F120" s="30"/>
      <c r="G120" s="30"/>
      <c r="H120" s="30"/>
      <c r="I120" s="30"/>
      <c r="J120" s="30"/>
      <c r="K120" s="30"/>
      <c r="L120" s="30"/>
      <c r="M120" s="30"/>
      <c r="N120" s="30"/>
    </row>
    <row r="121" spans="1:14" ht="12.75">
      <c r="A121" s="30"/>
      <c r="B121" s="30"/>
      <c r="C121" s="30"/>
      <c r="D121" s="30"/>
      <c r="E121" s="30"/>
      <c r="F121" s="30"/>
      <c r="G121" s="30"/>
      <c r="H121" s="30"/>
      <c r="I121" s="30"/>
      <c r="J121" s="30"/>
      <c r="K121" s="30"/>
      <c r="L121" s="30"/>
      <c r="M121" s="30"/>
      <c r="N121" s="30"/>
    </row>
    <row r="122" spans="1:14" ht="12.75">
      <c r="A122" s="30"/>
      <c r="B122" s="30"/>
      <c r="C122" s="30"/>
      <c r="D122" s="30"/>
      <c r="E122" s="30"/>
      <c r="F122" s="30"/>
      <c r="G122" s="30"/>
      <c r="H122" s="30"/>
      <c r="I122" s="30"/>
      <c r="J122" s="30"/>
      <c r="K122" s="30"/>
      <c r="L122" s="30"/>
      <c r="M122" s="30"/>
      <c r="N122" s="30"/>
    </row>
    <row r="123" spans="1:14" ht="12.75">
      <c r="A123" s="30"/>
      <c r="B123" s="30"/>
      <c r="C123" s="30"/>
      <c r="D123" s="30"/>
      <c r="E123" s="30"/>
      <c r="F123" s="30"/>
      <c r="G123" s="30"/>
      <c r="H123" s="30"/>
      <c r="I123" s="30"/>
      <c r="J123" s="30"/>
      <c r="K123" s="30"/>
      <c r="L123" s="30"/>
      <c r="M123" s="30"/>
      <c r="N123" s="30"/>
    </row>
    <row r="124" spans="1:14" ht="12.75">
      <c r="A124" s="30"/>
      <c r="B124" s="30"/>
      <c r="C124" s="30"/>
      <c r="D124" s="30"/>
      <c r="E124" s="30"/>
      <c r="F124" s="30"/>
      <c r="G124" s="30"/>
      <c r="H124" s="30"/>
      <c r="I124" s="30"/>
      <c r="J124" s="30"/>
      <c r="K124" s="30"/>
      <c r="L124" s="30"/>
      <c r="M124" s="30"/>
      <c r="N124" s="30"/>
    </row>
    <row r="125" spans="1:14" ht="12.75">
      <c r="A125" s="30"/>
      <c r="B125" s="30"/>
      <c r="C125" s="30"/>
      <c r="D125" s="30"/>
      <c r="E125" s="30"/>
      <c r="F125" s="30"/>
      <c r="G125" s="30"/>
      <c r="H125" s="30"/>
      <c r="I125" s="30"/>
      <c r="J125" s="30"/>
      <c r="K125" s="30"/>
      <c r="L125" s="30"/>
      <c r="M125" s="30"/>
      <c r="N125" s="30"/>
    </row>
    <row r="126" spans="1:14" ht="12.75">
      <c r="A126" s="30"/>
      <c r="B126" s="30"/>
      <c r="C126" s="30"/>
      <c r="D126" s="30"/>
      <c r="E126" s="30"/>
      <c r="F126" s="30"/>
      <c r="G126" s="30"/>
      <c r="H126" s="30"/>
      <c r="I126" s="30"/>
      <c r="J126" s="30"/>
      <c r="K126" s="30"/>
      <c r="L126" s="30"/>
      <c r="M126" s="30"/>
      <c r="N126" s="30"/>
    </row>
    <row r="127" spans="1:14" ht="12.75">
      <c r="A127" s="30"/>
      <c r="B127" s="30"/>
      <c r="C127" s="30"/>
      <c r="D127" s="30"/>
      <c r="E127" s="30"/>
      <c r="F127" s="30"/>
      <c r="G127" s="30"/>
      <c r="H127" s="30"/>
      <c r="I127" s="30"/>
      <c r="J127" s="30"/>
      <c r="K127" s="30"/>
      <c r="L127" s="30"/>
      <c r="M127" s="30"/>
      <c r="N127" s="30"/>
    </row>
    <row r="128" spans="1:14" ht="12.75">
      <c r="A128" s="30"/>
      <c r="B128" s="30"/>
      <c r="C128" s="30"/>
      <c r="D128" s="30"/>
      <c r="E128" s="30"/>
      <c r="F128" s="30"/>
      <c r="G128" s="30"/>
      <c r="H128" s="30"/>
      <c r="I128" s="30"/>
      <c r="J128" s="30"/>
      <c r="K128" s="30"/>
      <c r="L128" s="30"/>
      <c r="M128" s="30"/>
      <c r="N128" s="30"/>
    </row>
    <row r="129" spans="1:14" ht="12.75">
      <c r="A129" s="30"/>
      <c r="B129" s="30"/>
      <c r="C129" s="30"/>
      <c r="D129" s="30"/>
      <c r="E129" s="30"/>
      <c r="F129" s="30"/>
      <c r="G129" s="30"/>
      <c r="H129" s="30"/>
      <c r="I129" s="30"/>
      <c r="J129" s="30"/>
      <c r="K129" s="30"/>
      <c r="L129" s="30"/>
      <c r="M129" s="30"/>
      <c r="N129" s="30"/>
    </row>
    <row r="130" spans="1:14" ht="12.75">
      <c r="A130" s="30"/>
      <c r="B130" s="30"/>
      <c r="C130" s="30"/>
      <c r="D130" s="30"/>
      <c r="E130" s="30"/>
      <c r="F130" s="30"/>
      <c r="G130" s="30"/>
      <c r="H130" s="30"/>
      <c r="I130" s="30"/>
      <c r="J130" s="30"/>
      <c r="K130" s="30"/>
      <c r="L130" s="30"/>
      <c r="M130" s="30"/>
      <c r="N130" s="30"/>
    </row>
    <row r="131" spans="1:14" ht="12.75">
      <c r="A131" s="30"/>
      <c r="B131" s="30"/>
      <c r="C131" s="30"/>
      <c r="D131" s="30"/>
      <c r="E131" s="30"/>
      <c r="F131" s="30"/>
      <c r="G131" s="30"/>
      <c r="H131" s="30"/>
      <c r="I131" s="30"/>
      <c r="J131" s="30"/>
      <c r="K131" s="30"/>
      <c r="L131" s="30"/>
      <c r="M131" s="30"/>
      <c r="N131" s="30"/>
    </row>
    <row r="132" spans="1:14" ht="12.75">
      <c r="A132" s="30"/>
      <c r="B132" s="30"/>
      <c r="C132" s="30"/>
      <c r="D132" s="30"/>
      <c r="E132" s="30"/>
      <c r="F132" s="30"/>
      <c r="G132" s="30"/>
      <c r="H132" s="30"/>
      <c r="I132" s="30"/>
      <c r="J132" s="30"/>
      <c r="K132" s="30"/>
      <c r="L132" s="30"/>
      <c r="M132" s="30"/>
      <c r="N132" s="30"/>
    </row>
    <row r="133" spans="1:14" ht="12.75">
      <c r="A133" s="30"/>
      <c r="B133" s="30"/>
      <c r="C133" s="30"/>
      <c r="D133" s="30"/>
      <c r="E133" s="30"/>
      <c r="F133" s="30"/>
      <c r="G133" s="30"/>
      <c r="H133" s="30"/>
      <c r="I133" s="30"/>
      <c r="J133" s="30"/>
      <c r="K133" s="30"/>
      <c r="L133" s="30"/>
      <c r="M133" s="30"/>
      <c r="N133" s="30"/>
    </row>
    <row r="134" spans="1:14" ht="12.75">
      <c r="A134" s="30"/>
      <c r="B134" s="30"/>
      <c r="C134" s="30"/>
      <c r="D134" s="30"/>
      <c r="E134" s="30"/>
      <c r="F134" s="30"/>
      <c r="G134" s="30"/>
      <c r="H134" s="30"/>
      <c r="I134" s="30"/>
      <c r="J134" s="30"/>
      <c r="K134" s="30"/>
      <c r="L134" s="30"/>
      <c r="M134" s="30"/>
      <c r="N134" s="30"/>
    </row>
    <row r="135" spans="1:14" ht="12.75">
      <c r="A135" s="30"/>
      <c r="B135" s="30"/>
      <c r="C135" s="30"/>
      <c r="D135" s="30"/>
      <c r="E135" s="30"/>
      <c r="F135" s="30"/>
      <c r="G135" s="30"/>
      <c r="H135" s="30"/>
      <c r="I135" s="30"/>
      <c r="J135" s="30"/>
      <c r="K135" s="30"/>
      <c r="L135" s="30"/>
      <c r="M135" s="30"/>
      <c r="N135" s="30"/>
    </row>
    <row r="136" spans="1:14" ht="12.75">
      <c r="A136" s="30"/>
      <c r="B136" s="30"/>
      <c r="C136" s="30"/>
      <c r="D136" s="30"/>
      <c r="E136" s="30"/>
      <c r="F136" s="30"/>
      <c r="G136" s="30"/>
      <c r="H136" s="30"/>
      <c r="I136" s="30"/>
      <c r="J136" s="30"/>
      <c r="K136" s="30"/>
      <c r="L136" s="30"/>
      <c r="M136" s="30"/>
      <c r="N136" s="30"/>
    </row>
    <row r="137" spans="1:14" ht="12.75">
      <c r="A137" s="30"/>
      <c r="B137" s="30"/>
      <c r="C137" s="30"/>
      <c r="D137" s="30"/>
      <c r="E137" s="30"/>
      <c r="F137" s="30"/>
      <c r="G137" s="30"/>
      <c r="H137" s="30"/>
      <c r="I137" s="30"/>
      <c r="J137" s="30"/>
      <c r="K137" s="30"/>
      <c r="L137" s="30"/>
      <c r="M137" s="30"/>
      <c r="N137" s="30"/>
    </row>
    <row r="138" spans="1:14" ht="12.75">
      <c r="A138" s="30"/>
      <c r="B138" s="30"/>
      <c r="C138" s="30"/>
      <c r="D138" s="30"/>
      <c r="E138" s="30"/>
      <c r="F138" s="30"/>
      <c r="G138" s="30"/>
      <c r="H138" s="30"/>
      <c r="I138" s="30"/>
      <c r="J138" s="30"/>
      <c r="K138" s="30"/>
      <c r="L138" s="30"/>
      <c r="M138" s="30"/>
      <c r="N138" s="30"/>
    </row>
    <row r="139" spans="1:14" ht="12.75">
      <c r="A139" s="30"/>
      <c r="B139" s="30"/>
      <c r="C139" s="30"/>
      <c r="D139" s="30"/>
      <c r="E139" s="30"/>
      <c r="F139" s="30"/>
      <c r="G139" s="30"/>
      <c r="H139" s="30"/>
      <c r="I139" s="30"/>
      <c r="J139" s="30"/>
      <c r="K139" s="30"/>
      <c r="L139" s="30"/>
      <c r="M139" s="30"/>
      <c r="N139" s="30"/>
    </row>
    <row r="140" spans="1:14" ht="12.75">
      <c r="A140" s="30"/>
      <c r="B140" s="30"/>
      <c r="C140" s="30"/>
      <c r="D140" s="30"/>
      <c r="E140" s="30"/>
      <c r="F140" s="30"/>
      <c r="G140" s="30"/>
      <c r="H140" s="30"/>
      <c r="I140" s="30"/>
      <c r="J140" s="30"/>
      <c r="K140" s="30"/>
      <c r="L140" s="30"/>
      <c r="M140" s="30"/>
      <c r="N140" s="30"/>
    </row>
    <row r="141" spans="1:14" ht="12.75">
      <c r="A141" s="30"/>
      <c r="B141" s="30"/>
      <c r="C141" s="30"/>
      <c r="D141" s="30"/>
      <c r="E141" s="30"/>
      <c r="F141" s="30"/>
      <c r="G141" s="30"/>
      <c r="H141" s="30"/>
      <c r="I141" s="30"/>
      <c r="J141" s="30"/>
      <c r="K141" s="30"/>
      <c r="L141" s="30"/>
      <c r="M141" s="30"/>
      <c r="N141" s="30"/>
    </row>
    <row r="142" spans="1:14" ht="12.75">
      <c r="A142" s="30"/>
      <c r="B142" s="30"/>
      <c r="C142" s="30"/>
      <c r="D142" s="30"/>
      <c r="E142" s="30"/>
      <c r="F142" s="30"/>
      <c r="G142" s="30"/>
      <c r="H142" s="30"/>
      <c r="I142" s="30"/>
      <c r="J142" s="30"/>
      <c r="K142" s="30"/>
      <c r="L142" s="30"/>
      <c r="M142" s="30"/>
      <c r="N142" s="30"/>
    </row>
    <row r="143" spans="1:14" ht="12.75">
      <c r="A143" s="30"/>
      <c r="B143" s="30"/>
      <c r="C143" s="30"/>
      <c r="D143" s="30"/>
      <c r="E143" s="30"/>
      <c r="F143" s="30"/>
      <c r="G143" s="30"/>
      <c r="H143" s="30"/>
      <c r="I143" s="30"/>
      <c r="J143" s="30"/>
      <c r="K143" s="30"/>
      <c r="L143" s="30"/>
      <c r="M143" s="30"/>
      <c r="N143" s="30"/>
    </row>
    <row r="144" spans="1:14" ht="12.75">
      <c r="A144" s="30"/>
      <c r="B144" s="30"/>
      <c r="C144" s="30"/>
      <c r="D144" s="30"/>
      <c r="E144" s="30"/>
      <c r="F144" s="30"/>
      <c r="G144" s="30"/>
      <c r="H144" s="30"/>
      <c r="I144" s="30"/>
      <c r="J144" s="30"/>
      <c r="K144" s="30"/>
      <c r="L144" s="30"/>
      <c r="M144" s="30"/>
      <c r="N144" s="30"/>
    </row>
    <row r="145" spans="1:14" ht="12.75">
      <c r="A145" s="30"/>
      <c r="B145" s="30"/>
      <c r="C145" s="30"/>
      <c r="D145" s="30"/>
      <c r="E145" s="30"/>
      <c r="F145" s="30"/>
      <c r="G145" s="30"/>
      <c r="H145" s="30"/>
      <c r="I145" s="30"/>
      <c r="J145" s="30"/>
      <c r="K145" s="30"/>
      <c r="L145" s="30"/>
      <c r="M145" s="30"/>
      <c r="N145" s="30"/>
    </row>
    <row r="146" spans="1:14" ht="12.75">
      <c r="A146" s="30"/>
      <c r="B146" s="30"/>
      <c r="C146" s="30"/>
      <c r="D146" s="30"/>
      <c r="E146" s="30"/>
      <c r="F146" s="30"/>
      <c r="G146" s="30"/>
      <c r="H146" s="30"/>
      <c r="I146" s="30"/>
      <c r="J146" s="30"/>
      <c r="K146" s="30"/>
      <c r="L146" s="30"/>
      <c r="M146" s="30"/>
      <c r="N146" s="30"/>
    </row>
    <row r="147" spans="1:14" ht="12.75">
      <c r="A147" s="30"/>
      <c r="B147" s="30"/>
      <c r="C147" s="30"/>
      <c r="D147" s="30"/>
      <c r="E147" s="30"/>
      <c r="F147" s="30"/>
      <c r="G147" s="30"/>
      <c r="H147" s="30"/>
      <c r="I147" s="30"/>
      <c r="J147" s="30"/>
      <c r="K147" s="30"/>
      <c r="L147" s="30"/>
      <c r="M147" s="30"/>
      <c r="N147" s="30"/>
    </row>
    <row r="148" spans="1:14" ht="12.75">
      <c r="A148" s="30"/>
      <c r="B148" s="30"/>
      <c r="C148" s="30"/>
      <c r="D148" s="30"/>
      <c r="E148" s="30"/>
      <c r="F148" s="30"/>
      <c r="G148" s="30"/>
      <c r="H148" s="30"/>
      <c r="I148" s="30"/>
      <c r="J148" s="30"/>
      <c r="K148" s="30"/>
      <c r="L148" s="30"/>
      <c r="M148" s="30"/>
      <c r="N148" s="30"/>
    </row>
    <row r="149" spans="1:14" ht="12.75">
      <c r="A149" s="30"/>
      <c r="B149" s="30"/>
      <c r="C149" s="30"/>
      <c r="D149" s="30"/>
      <c r="E149" s="30"/>
      <c r="F149" s="30"/>
      <c r="G149" s="30"/>
      <c r="H149" s="30"/>
      <c r="I149" s="30"/>
      <c r="J149" s="30"/>
      <c r="K149" s="30"/>
      <c r="L149" s="30"/>
      <c r="M149" s="30"/>
      <c r="N149" s="30"/>
    </row>
    <row r="150" spans="1:14" ht="12.75">
      <c r="A150" s="30"/>
      <c r="B150" s="30"/>
      <c r="C150" s="30"/>
      <c r="D150" s="30"/>
      <c r="E150" s="30"/>
      <c r="F150" s="30"/>
      <c r="G150" s="30"/>
      <c r="H150" s="30"/>
      <c r="I150" s="30"/>
      <c r="J150" s="30"/>
      <c r="K150" s="30"/>
      <c r="L150" s="30"/>
      <c r="M150" s="30"/>
      <c r="N150" s="30"/>
    </row>
    <row r="151" spans="1:14" ht="12.75">
      <c r="A151" s="30"/>
      <c r="B151" s="30"/>
      <c r="C151" s="30"/>
      <c r="D151" s="30"/>
      <c r="E151" s="30"/>
      <c r="F151" s="30"/>
      <c r="G151" s="30"/>
      <c r="H151" s="30"/>
      <c r="I151" s="30"/>
      <c r="J151" s="30"/>
      <c r="K151" s="30"/>
      <c r="L151" s="30"/>
      <c r="M151" s="30"/>
      <c r="N151" s="30"/>
    </row>
    <row r="152" spans="1:14" ht="12.75">
      <c r="A152" s="30"/>
      <c r="B152" s="30"/>
      <c r="C152" s="30"/>
      <c r="D152" s="30"/>
      <c r="E152" s="30"/>
      <c r="F152" s="30"/>
      <c r="G152" s="30"/>
      <c r="H152" s="30"/>
      <c r="I152" s="30"/>
      <c r="J152" s="30"/>
      <c r="K152" s="30"/>
      <c r="L152" s="30"/>
      <c r="M152" s="30"/>
      <c r="N152" s="30"/>
    </row>
    <row r="153" spans="1:14" ht="12.75">
      <c r="A153" s="30"/>
      <c r="B153" s="30"/>
      <c r="C153" s="30"/>
      <c r="D153" s="30"/>
      <c r="E153" s="30"/>
      <c r="F153" s="30"/>
      <c r="G153" s="30"/>
      <c r="H153" s="30"/>
      <c r="I153" s="30"/>
      <c r="J153" s="30"/>
      <c r="K153" s="30"/>
      <c r="L153" s="30"/>
      <c r="M153" s="30"/>
      <c r="N153" s="30"/>
    </row>
    <row r="154" spans="1:14" ht="12.75">
      <c r="A154" s="30"/>
      <c r="B154" s="30"/>
      <c r="C154" s="30"/>
      <c r="D154" s="30"/>
      <c r="E154" s="30"/>
      <c r="F154" s="30"/>
      <c r="G154" s="30"/>
      <c r="H154" s="30"/>
      <c r="I154" s="30"/>
      <c r="J154" s="30"/>
      <c r="K154" s="30"/>
      <c r="L154" s="30"/>
      <c r="M154" s="30"/>
      <c r="N154" s="30"/>
    </row>
    <row r="155" spans="1:14" ht="12.75">
      <c r="A155" s="30"/>
      <c r="B155" s="30"/>
      <c r="C155" s="30"/>
      <c r="D155" s="30"/>
      <c r="E155" s="30"/>
      <c r="F155" s="30"/>
      <c r="G155" s="30"/>
      <c r="H155" s="30"/>
      <c r="I155" s="30"/>
      <c r="J155" s="30"/>
      <c r="K155" s="30"/>
      <c r="L155" s="30"/>
      <c r="M155" s="30"/>
      <c r="N155" s="30"/>
    </row>
    <row r="156" spans="1:14" ht="12.75">
      <c r="A156" s="30"/>
      <c r="B156" s="30"/>
      <c r="C156" s="30"/>
      <c r="D156" s="30"/>
      <c r="E156" s="30"/>
      <c r="F156" s="30"/>
      <c r="G156" s="30"/>
      <c r="H156" s="30"/>
      <c r="I156" s="30"/>
      <c r="J156" s="30"/>
      <c r="K156" s="30"/>
      <c r="L156" s="30"/>
      <c r="M156" s="30"/>
      <c r="N156" s="30"/>
    </row>
    <row r="157" spans="1:14" ht="12.75">
      <c r="A157" s="30"/>
      <c r="B157" s="30"/>
      <c r="C157" s="30"/>
      <c r="D157" s="30"/>
      <c r="E157" s="30"/>
      <c r="F157" s="30"/>
      <c r="G157" s="30"/>
      <c r="H157" s="30"/>
      <c r="I157" s="30"/>
      <c r="J157" s="30"/>
      <c r="K157" s="30"/>
      <c r="L157" s="30"/>
      <c r="M157" s="30"/>
      <c r="N157" s="30"/>
    </row>
    <row r="158" spans="1:14" ht="12.75">
      <c r="A158" s="30"/>
      <c r="B158" s="30"/>
      <c r="C158" s="30"/>
      <c r="D158" s="30"/>
      <c r="E158" s="30"/>
      <c r="F158" s="30"/>
      <c r="G158" s="30"/>
      <c r="H158" s="30"/>
      <c r="I158" s="30"/>
      <c r="J158" s="30"/>
      <c r="K158" s="30"/>
      <c r="L158" s="30"/>
      <c r="M158" s="30"/>
      <c r="N158" s="30"/>
    </row>
    <row r="159" spans="1:14" ht="12.75">
      <c r="A159" s="30"/>
      <c r="B159" s="30"/>
      <c r="C159" s="30"/>
      <c r="D159" s="30"/>
      <c r="E159" s="30"/>
      <c r="F159" s="30"/>
      <c r="G159" s="30"/>
      <c r="H159" s="30"/>
      <c r="I159" s="30"/>
      <c r="J159" s="30"/>
      <c r="K159" s="30"/>
      <c r="L159" s="30"/>
      <c r="M159" s="30"/>
      <c r="N159" s="30"/>
    </row>
    <row r="160" spans="1:14" ht="12.75">
      <c r="A160" s="30"/>
      <c r="B160" s="30"/>
      <c r="C160" s="30"/>
      <c r="D160" s="30"/>
      <c r="E160" s="30"/>
      <c r="F160" s="30"/>
      <c r="G160" s="30"/>
      <c r="H160" s="30"/>
      <c r="I160" s="30"/>
      <c r="J160" s="30"/>
      <c r="K160" s="30"/>
      <c r="L160" s="30"/>
      <c r="M160" s="30"/>
      <c r="N160" s="30"/>
    </row>
    <row r="161" spans="1:14" ht="12.75">
      <c r="A161" s="30"/>
      <c r="B161" s="30"/>
      <c r="C161" s="30"/>
      <c r="D161" s="30"/>
      <c r="E161" s="30"/>
      <c r="F161" s="30"/>
      <c r="G161" s="30"/>
      <c r="H161" s="30"/>
      <c r="I161" s="30"/>
      <c r="J161" s="30"/>
      <c r="K161" s="30"/>
      <c r="L161" s="30"/>
      <c r="M161" s="30"/>
      <c r="N161" s="30"/>
    </row>
    <row r="162" spans="1:14" ht="12.75">
      <c r="A162" s="30"/>
      <c r="B162" s="30"/>
      <c r="C162" s="30"/>
      <c r="D162" s="30"/>
      <c r="E162" s="30"/>
      <c r="F162" s="30"/>
      <c r="G162" s="30"/>
      <c r="H162" s="30"/>
      <c r="I162" s="30"/>
      <c r="J162" s="30"/>
      <c r="K162" s="30"/>
      <c r="L162" s="30"/>
      <c r="M162" s="30"/>
      <c r="N162" s="30"/>
    </row>
    <row r="163" spans="1:14" ht="12.75">
      <c r="A163" s="30"/>
      <c r="B163" s="30"/>
      <c r="C163" s="30"/>
      <c r="D163" s="30"/>
      <c r="E163" s="30"/>
      <c r="F163" s="30"/>
      <c r="G163" s="30"/>
      <c r="H163" s="30"/>
      <c r="I163" s="30"/>
      <c r="J163" s="30"/>
      <c r="K163" s="30"/>
      <c r="L163" s="30"/>
      <c r="M163" s="30"/>
      <c r="N163" s="30"/>
    </row>
    <row r="164" spans="1:14" ht="12.75">
      <c r="A164" s="30"/>
      <c r="B164" s="30"/>
      <c r="C164" s="30"/>
      <c r="D164" s="30"/>
      <c r="E164" s="30"/>
      <c r="F164" s="30"/>
      <c r="G164" s="30"/>
      <c r="H164" s="30"/>
      <c r="I164" s="30"/>
      <c r="J164" s="30"/>
      <c r="K164" s="30"/>
      <c r="L164" s="30"/>
      <c r="M164" s="30"/>
      <c r="N164" s="30"/>
    </row>
    <row r="165" spans="1:14" ht="12.75">
      <c r="A165" s="30"/>
      <c r="B165" s="30"/>
      <c r="C165" s="30"/>
      <c r="D165" s="30"/>
      <c r="E165" s="30"/>
      <c r="F165" s="30"/>
      <c r="G165" s="30"/>
      <c r="H165" s="30"/>
      <c r="I165" s="30"/>
      <c r="J165" s="30"/>
      <c r="K165" s="30"/>
      <c r="L165" s="30"/>
      <c r="M165" s="30"/>
      <c r="N165" s="30"/>
    </row>
    <row r="166" spans="1:14" ht="12.75">
      <c r="A166" s="30"/>
      <c r="B166" s="30"/>
      <c r="C166" s="30"/>
      <c r="D166" s="30"/>
      <c r="E166" s="30"/>
      <c r="F166" s="30"/>
      <c r="G166" s="30"/>
      <c r="H166" s="30"/>
      <c r="I166" s="30"/>
      <c r="J166" s="30"/>
      <c r="K166" s="30"/>
      <c r="L166" s="30"/>
      <c r="M166" s="30"/>
      <c r="N166" s="30"/>
    </row>
    <row r="167" spans="1:14" ht="12.75">
      <c r="A167" s="30"/>
      <c r="B167" s="30"/>
      <c r="C167" s="30"/>
      <c r="D167" s="30"/>
      <c r="E167" s="30"/>
      <c r="F167" s="30"/>
      <c r="G167" s="30"/>
      <c r="H167" s="30"/>
      <c r="I167" s="30"/>
      <c r="J167" s="30"/>
      <c r="K167" s="30"/>
      <c r="L167" s="30"/>
      <c r="M167" s="30"/>
      <c r="N167" s="30"/>
    </row>
    <row r="168" spans="1:14" ht="12.75">
      <c r="A168" s="30"/>
      <c r="B168" s="30"/>
      <c r="C168" s="30"/>
      <c r="D168" s="30"/>
      <c r="E168" s="30"/>
      <c r="F168" s="30"/>
      <c r="G168" s="30"/>
      <c r="H168" s="30"/>
      <c r="I168" s="30"/>
      <c r="J168" s="30"/>
      <c r="K168" s="30"/>
      <c r="L168" s="30"/>
      <c r="M168" s="30"/>
      <c r="N168" s="30"/>
    </row>
    <row r="169" spans="1:14" ht="12.75">
      <c r="A169" s="30"/>
      <c r="B169" s="30"/>
      <c r="C169" s="30"/>
      <c r="D169" s="30"/>
      <c r="E169" s="30"/>
      <c r="F169" s="30"/>
      <c r="G169" s="30"/>
      <c r="H169" s="30"/>
      <c r="I169" s="30"/>
      <c r="J169" s="30"/>
      <c r="K169" s="30"/>
      <c r="L169" s="30"/>
      <c r="M169" s="30"/>
      <c r="N169" s="30"/>
    </row>
    <row r="170" spans="1:14" ht="12.75">
      <c r="A170" s="30"/>
      <c r="B170" s="30"/>
      <c r="C170" s="30"/>
      <c r="D170" s="30"/>
      <c r="E170" s="30"/>
      <c r="F170" s="30"/>
      <c r="G170" s="30"/>
      <c r="H170" s="30"/>
      <c r="I170" s="30"/>
      <c r="J170" s="30"/>
      <c r="K170" s="30"/>
      <c r="L170" s="30"/>
      <c r="M170" s="30"/>
      <c r="N170" s="30"/>
    </row>
    <row r="171" spans="1:14" ht="12.75">
      <c r="A171" s="30"/>
      <c r="B171" s="30"/>
      <c r="C171" s="30"/>
      <c r="D171" s="30"/>
      <c r="E171" s="30"/>
      <c r="F171" s="30"/>
      <c r="G171" s="30"/>
      <c r="H171" s="30"/>
      <c r="I171" s="30"/>
      <c r="J171" s="30"/>
      <c r="K171" s="30"/>
      <c r="L171" s="30"/>
      <c r="M171" s="30"/>
      <c r="N171" s="30"/>
    </row>
    <row r="172" spans="1:14" ht="12.75">
      <c r="A172" s="30"/>
      <c r="B172" s="30"/>
      <c r="C172" s="30"/>
      <c r="D172" s="30"/>
      <c r="E172" s="30"/>
      <c r="F172" s="30"/>
      <c r="G172" s="30"/>
      <c r="H172" s="30"/>
      <c r="I172" s="30"/>
      <c r="J172" s="30"/>
      <c r="K172" s="30"/>
      <c r="L172" s="30"/>
      <c r="M172" s="30"/>
      <c r="N172" s="30"/>
    </row>
    <row r="173" spans="1:14" ht="12.75">
      <c r="A173" s="30"/>
      <c r="B173" s="30"/>
      <c r="C173" s="30"/>
      <c r="D173" s="30"/>
      <c r="E173" s="30"/>
      <c r="F173" s="30"/>
      <c r="G173" s="30"/>
      <c r="H173" s="30"/>
      <c r="I173" s="30"/>
      <c r="J173" s="30"/>
      <c r="K173" s="30"/>
      <c r="L173" s="30"/>
      <c r="M173" s="30"/>
      <c r="N173" s="30"/>
    </row>
    <row r="174" spans="1:14" ht="12.75">
      <c r="A174" s="30"/>
      <c r="B174" s="30"/>
      <c r="C174" s="30"/>
      <c r="D174" s="30"/>
      <c r="E174" s="30"/>
      <c r="F174" s="30"/>
      <c r="G174" s="30"/>
      <c r="H174" s="30"/>
      <c r="I174" s="30"/>
      <c r="J174" s="30"/>
      <c r="K174" s="30"/>
      <c r="L174" s="30"/>
      <c r="M174" s="30"/>
      <c r="N174" s="30"/>
    </row>
    <row r="175" spans="1:14" ht="12.75">
      <c r="A175" s="30"/>
      <c r="B175" s="30"/>
      <c r="C175" s="30"/>
      <c r="D175" s="30"/>
      <c r="E175" s="30"/>
      <c r="F175" s="30"/>
      <c r="G175" s="30"/>
      <c r="H175" s="30"/>
      <c r="I175" s="30"/>
      <c r="J175" s="30"/>
      <c r="K175" s="30"/>
      <c r="L175" s="30"/>
      <c r="M175" s="30"/>
      <c r="N175" s="30"/>
    </row>
    <row r="176" spans="1:14" ht="12.75">
      <c r="A176" s="30"/>
      <c r="B176" s="30"/>
      <c r="C176" s="30"/>
      <c r="D176" s="30"/>
      <c r="E176" s="30"/>
      <c r="F176" s="30"/>
      <c r="G176" s="30"/>
      <c r="H176" s="30"/>
      <c r="I176" s="30"/>
      <c r="J176" s="30"/>
      <c r="K176" s="30"/>
      <c r="L176" s="30"/>
      <c r="M176" s="30"/>
      <c r="N176" s="30"/>
    </row>
    <row r="177" spans="1:14" ht="12.75">
      <c r="A177" s="30"/>
      <c r="B177" s="30"/>
      <c r="C177" s="30"/>
      <c r="D177" s="30"/>
      <c r="E177" s="30"/>
      <c r="F177" s="30"/>
      <c r="G177" s="30"/>
      <c r="H177" s="30"/>
      <c r="I177" s="30"/>
      <c r="J177" s="30"/>
      <c r="K177" s="30"/>
      <c r="L177" s="30"/>
      <c r="M177" s="30"/>
      <c r="N177" s="30"/>
    </row>
    <row r="178" spans="1:14" ht="12.75">
      <c r="A178" s="30"/>
      <c r="B178" s="30"/>
      <c r="C178" s="30"/>
      <c r="D178" s="30"/>
      <c r="E178" s="30"/>
      <c r="F178" s="30"/>
      <c r="G178" s="30"/>
      <c r="H178" s="30"/>
      <c r="I178" s="30"/>
      <c r="J178" s="30"/>
      <c r="K178" s="30"/>
      <c r="L178" s="30"/>
      <c r="M178" s="30"/>
      <c r="N178" s="30"/>
    </row>
    <row r="179" spans="1:14" ht="12.75">
      <c r="A179" s="30"/>
      <c r="B179" s="30"/>
      <c r="C179" s="30"/>
      <c r="D179" s="30"/>
      <c r="E179" s="30"/>
      <c r="F179" s="30"/>
      <c r="G179" s="30"/>
      <c r="H179" s="30"/>
      <c r="I179" s="30"/>
      <c r="J179" s="30"/>
      <c r="K179" s="30"/>
      <c r="L179" s="30"/>
      <c r="M179" s="30"/>
      <c r="N179" s="30"/>
    </row>
    <row r="180" spans="1:14" ht="12.75">
      <c r="A180" s="30"/>
      <c r="B180" s="30"/>
      <c r="C180" s="30"/>
      <c r="D180" s="30"/>
      <c r="E180" s="30"/>
      <c r="F180" s="30"/>
      <c r="G180" s="30"/>
      <c r="H180" s="30"/>
      <c r="I180" s="30"/>
      <c r="J180" s="30"/>
      <c r="K180" s="30"/>
      <c r="L180" s="30"/>
      <c r="M180" s="30"/>
      <c r="N180" s="30"/>
    </row>
    <row r="181" spans="1:14" ht="12.75">
      <c r="A181" s="30"/>
      <c r="B181" s="30"/>
      <c r="C181" s="30"/>
      <c r="D181" s="30"/>
      <c r="E181" s="30"/>
      <c r="F181" s="30"/>
      <c r="G181" s="30"/>
      <c r="H181" s="30"/>
      <c r="I181" s="30"/>
      <c r="J181" s="30"/>
      <c r="K181" s="30"/>
      <c r="L181" s="30"/>
      <c r="M181" s="30"/>
      <c r="N181" s="30"/>
    </row>
    <row r="182" spans="1:14" ht="12.75">
      <c r="A182" s="30"/>
      <c r="B182" s="30"/>
      <c r="C182" s="30"/>
      <c r="D182" s="30"/>
      <c r="E182" s="30"/>
      <c r="F182" s="30"/>
      <c r="G182" s="30"/>
      <c r="H182" s="30"/>
      <c r="I182" s="30"/>
      <c r="J182" s="30"/>
      <c r="K182" s="30"/>
      <c r="L182" s="30"/>
      <c r="M182" s="30"/>
      <c r="N182" s="30"/>
    </row>
    <row r="183" spans="1:14" ht="12.75">
      <c r="A183" s="30"/>
      <c r="B183" s="30"/>
      <c r="C183" s="30"/>
      <c r="D183" s="30"/>
      <c r="E183" s="30"/>
      <c r="F183" s="30"/>
      <c r="G183" s="30"/>
      <c r="H183" s="30"/>
      <c r="I183" s="30"/>
      <c r="J183" s="30"/>
      <c r="K183" s="30"/>
      <c r="L183" s="30"/>
      <c r="M183" s="30"/>
      <c r="N183" s="30"/>
    </row>
    <row r="184" spans="1:14" ht="12.75">
      <c r="A184" s="30"/>
      <c r="B184" s="30"/>
      <c r="C184" s="30"/>
      <c r="D184" s="30"/>
      <c r="E184" s="30"/>
      <c r="F184" s="30"/>
      <c r="G184" s="30"/>
      <c r="H184" s="30"/>
      <c r="I184" s="30"/>
      <c r="J184" s="30"/>
      <c r="K184" s="30"/>
      <c r="L184" s="30"/>
      <c r="M184" s="30"/>
      <c r="N184" s="30"/>
    </row>
    <row r="185" spans="1:14" ht="12.75">
      <c r="A185" s="30"/>
      <c r="B185" s="30"/>
      <c r="C185" s="30"/>
      <c r="D185" s="30"/>
      <c r="E185" s="30"/>
      <c r="F185" s="30"/>
      <c r="G185" s="30"/>
      <c r="H185" s="30"/>
      <c r="I185" s="30"/>
      <c r="J185" s="30"/>
      <c r="K185" s="30"/>
      <c r="L185" s="30"/>
      <c r="M185" s="30"/>
      <c r="N185" s="30"/>
    </row>
    <row r="186" spans="1:14" ht="12.75">
      <c r="A186" s="30"/>
      <c r="B186" s="30"/>
      <c r="C186" s="30"/>
      <c r="D186" s="30"/>
      <c r="E186" s="30"/>
      <c r="F186" s="30"/>
      <c r="G186" s="30"/>
      <c r="H186" s="30"/>
      <c r="I186" s="30"/>
      <c r="J186" s="30"/>
      <c r="K186" s="30"/>
      <c r="L186" s="30"/>
      <c r="M186" s="30"/>
      <c r="N186" s="30"/>
    </row>
    <row r="187" spans="1:14" ht="12.75">
      <c r="A187" s="30"/>
      <c r="B187" s="30"/>
      <c r="C187" s="30"/>
      <c r="D187" s="30"/>
      <c r="E187" s="30"/>
      <c r="F187" s="30"/>
      <c r="G187" s="30"/>
      <c r="H187" s="30"/>
      <c r="I187" s="30"/>
      <c r="J187" s="30"/>
      <c r="K187" s="30"/>
      <c r="L187" s="30"/>
      <c r="M187" s="30"/>
      <c r="N187" s="30"/>
    </row>
    <row r="188" spans="1:14" ht="12.75">
      <c r="A188" s="30"/>
      <c r="B188" s="30"/>
      <c r="C188" s="30"/>
      <c r="D188" s="30"/>
      <c r="E188" s="30"/>
      <c r="F188" s="30"/>
      <c r="G188" s="30"/>
      <c r="H188" s="30"/>
      <c r="I188" s="30"/>
      <c r="J188" s="30"/>
      <c r="K188" s="30"/>
      <c r="L188" s="30"/>
      <c r="M188" s="30"/>
      <c r="N188" s="30"/>
    </row>
    <row r="189" spans="1:14" ht="12.75">
      <c r="A189" s="30"/>
      <c r="B189" s="30"/>
      <c r="C189" s="30"/>
      <c r="D189" s="30"/>
      <c r="E189" s="30"/>
      <c r="F189" s="30"/>
      <c r="G189" s="30"/>
      <c r="H189" s="30"/>
      <c r="I189" s="30"/>
      <c r="J189" s="30"/>
      <c r="K189" s="30"/>
      <c r="L189" s="30"/>
      <c r="M189" s="30"/>
      <c r="N189" s="30"/>
    </row>
    <row r="190" spans="1:14" ht="12.75">
      <c r="A190" s="30"/>
      <c r="B190" s="30"/>
      <c r="C190" s="30"/>
      <c r="D190" s="30"/>
      <c r="E190" s="30"/>
      <c r="F190" s="30"/>
      <c r="G190" s="30"/>
      <c r="H190" s="30"/>
      <c r="I190" s="30"/>
      <c r="J190" s="30"/>
      <c r="K190" s="30"/>
      <c r="L190" s="30"/>
      <c r="M190" s="30"/>
      <c r="N190" s="30"/>
    </row>
    <row r="191" spans="1:14" ht="12.75">
      <c r="A191" s="30"/>
      <c r="B191" s="30"/>
      <c r="C191" s="30"/>
      <c r="D191" s="30"/>
      <c r="E191" s="30"/>
      <c r="F191" s="30"/>
      <c r="G191" s="30"/>
      <c r="H191" s="30"/>
      <c r="I191" s="30"/>
      <c r="J191" s="30"/>
      <c r="K191" s="30"/>
      <c r="L191" s="30"/>
      <c r="M191" s="30"/>
      <c r="N191" s="30"/>
    </row>
    <row r="192" spans="1:14" ht="12.75">
      <c r="A192" s="30"/>
      <c r="B192" s="30"/>
      <c r="C192" s="30"/>
      <c r="D192" s="30"/>
      <c r="E192" s="30"/>
      <c r="F192" s="30"/>
      <c r="G192" s="30"/>
      <c r="H192" s="30"/>
      <c r="I192" s="30"/>
      <c r="J192" s="30"/>
      <c r="K192" s="30"/>
      <c r="L192" s="30"/>
      <c r="M192" s="30"/>
      <c r="N192" s="30"/>
    </row>
    <row r="193" spans="1:14" ht="12.75">
      <c r="A193" s="30"/>
      <c r="B193" s="30"/>
      <c r="C193" s="30"/>
      <c r="D193" s="30"/>
      <c r="E193" s="30"/>
      <c r="F193" s="30"/>
      <c r="G193" s="30"/>
      <c r="H193" s="30"/>
      <c r="I193" s="30"/>
      <c r="J193" s="30"/>
      <c r="K193" s="30"/>
      <c r="L193" s="30"/>
      <c r="M193" s="30"/>
      <c r="N193" s="30"/>
    </row>
    <row r="194" spans="1:14" ht="12.75">
      <c r="A194" s="30"/>
      <c r="B194" s="30"/>
      <c r="C194" s="30"/>
      <c r="D194" s="30"/>
      <c r="E194" s="30"/>
      <c r="F194" s="30"/>
      <c r="G194" s="30"/>
      <c r="H194" s="30"/>
      <c r="I194" s="30"/>
      <c r="J194" s="30"/>
      <c r="K194" s="30"/>
      <c r="L194" s="30"/>
      <c r="M194" s="30"/>
      <c r="N194" s="30"/>
    </row>
    <row r="195" spans="1:14" ht="12.75">
      <c r="A195" s="30"/>
      <c r="B195" s="30"/>
      <c r="C195" s="30"/>
      <c r="D195" s="30"/>
      <c r="E195" s="30"/>
      <c r="F195" s="30"/>
      <c r="G195" s="30"/>
      <c r="H195" s="30"/>
      <c r="I195" s="30"/>
      <c r="J195" s="30"/>
      <c r="K195" s="30"/>
      <c r="L195" s="30"/>
      <c r="M195" s="30"/>
      <c r="N195" s="30"/>
    </row>
    <row r="196" spans="1:14" ht="12.75">
      <c r="A196" s="30"/>
      <c r="B196" s="30"/>
      <c r="C196" s="30"/>
      <c r="D196" s="30"/>
      <c r="E196" s="30"/>
      <c r="F196" s="30"/>
      <c r="G196" s="30"/>
      <c r="H196" s="30"/>
      <c r="I196" s="30"/>
      <c r="J196" s="30"/>
      <c r="K196" s="30"/>
      <c r="L196" s="30"/>
      <c r="M196" s="30"/>
      <c r="N196" s="30"/>
    </row>
    <row r="197" spans="1:14" ht="12.75">
      <c r="A197" s="30"/>
      <c r="B197" s="30"/>
      <c r="C197" s="30"/>
      <c r="D197" s="30"/>
      <c r="E197" s="30"/>
      <c r="F197" s="30"/>
      <c r="G197" s="30"/>
      <c r="H197" s="30"/>
      <c r="I197" s="30"/>
      <c r="J197" s="30"/>
      <c r="K197" s="30"/>
      <c r="L197" s="30"/>
      <c r="M197" s="30"/>
      <c r="N197" s="30"/>
    </row>
    <row r="198" spans="1:14" ht="12.75">
      <c r="A198" s="30"/>
      <c r="B198" s="30"/>
      <c r="C198" s="30"/>
      <c r="D198" s="30"/>
      <c r="E198" s="30"/>
      <c r="F198" s="30"/>
      <c r="G198" s="30"/>
      <c r="H198" s="30"/>
      <c r="I198" s="30"/>
      <c r="J198" s="30"/>
      <c r="K198" s="30"/>
      <c r="L198" s="30"/>
      <c r="M198" s="30"/>
      <c r="N198" s="30"/>
    </row>
    <row r="199" spans="1:14" ht="12.75">
      <c r="A199" s="30"/>
      <c r="B199" s="30"/>
      <c r="C199" s="30"/>
      <c r="D199" s="30"/>
      <c r="E199" s="30"/>
      <c r="F199" s="30"/>
      <c r="G199" s="30"/>
      <c r="H199" s="30"/>
      <c r="I199" s="30"/>
      <c r="J199" s="30"/>
      <c r="K199" s="30"/>
      <c r="L199" s="30"/>
      <c r="M199" s="30"/>
      <c r="N199" s="30"/>
    </row>
    <row r="200" spans="1:14" ht="12.75">
      <c r="A200" s="30"/>
      <c r="B200" s="30"/>
      <c r="C200" s="30"/>
      <c r="D200" s="30"/>
      <c r="E200" s="30"/>
      <c r="F200" s="30"/>
      <c r="G200" s="30"/>
      <c r="H200" s="30"/>
      <c r="I200" s="30"/>
      <c r="J200" s="30"/>
      <c r="K200" s="30"/>
      <c r="L200" s="30"/>
      <c r="M200" s="30"/>
      <c r="N200" s="30"/>
    </row>
    <row r="201" spans="1:14" ht="12.75">
      <c r="A201" s="30"/>
      <c r="B201" s="30"/>
      <c r="C201" s="30"/>
      <c r="D201" s="30"/>
      <c r="E201" s="30"/>
      <c r="F201" s="30"/>
      <c r="G201" s="30"/>
      <c r="H201" s="30"/>
      <c r="I201" s="30"/>
      <c r="J201" s="30"/>
      <c r="K201" s="30"/>
      <c r="L201" s="30"/>
      <c r="M201" s="30"/>
      <c r="N201" s="30"/>
    </row>
    <row r="202" spans="1:14" ht="12.75">
      <c r="A202" s="30"/>
      <c r="B202" s="30"/>
      <c r="C202" s="30"/>
      <c r="D202" s="30"/>
      <c r="E202" s="30"/>
      <c r="F202" s="30"/>
      <c r="G202" s="30"/>
      <c r="H202" s="30"/>
      <c r="I202" s="30"/>
      <c r="J202" s="30"/>
      <c r="K202" s="30"/>
      <c r="L202" s="30"/>
      <c r="M202" s="30"/>
      <c r="N202" s="30"/>
    </row>
    <row r="203" spans="1:14" ht="12.75">
      <c r="A203" s="30"/>
      <c r="B203" s="30"/>
      <c r="C203" s="30"/>
      <c r="D203" s="30"/>
      <c r="E203" s="30"/>
      <c r="F203" s="30"/>
      <c r="G203" s="30"/>
      <c r="H203" s="30"/>
      <c r="I203" s="30"/>
      <c r="J203" s="30"/>
      <c r="K203" s="30"/>
      <c r="L203" s="30"/>
      <c r="M203" s="30"/>
      <c r="N203" s="30"/>
    </row>
    <row r="204" spans="1:14" ht="12.75">
      <c r="A204" s="30"/>
      <c r="B204" s="30"/>
      <c r="C204" s="30"/>
      <c r="D204" s="30"/>
      <c r="E204" s="30"/>
      <c r="F204" s="30"/>
      <c r="G204" s="30"/>
      <c r="H204" s="30"/>
      <c r="I204" s="30"/>
      <c r="J204" s="30"/>
      <c r="K204" s="30"/>
      <c r="L204" s="30"/>
      <c r="M204" s="30"/>
      <c r="N204" s="30"/>
    </row>
    <row r="205" spans="1:14" ht="12.75">
      <c r="A205" s="30"/>
      <c r="B205" s="30"/>
      <c r="C205" s="30"/>
      <c r="D205" s="30"/>
      <c r="E205" s="30"/>
      <c r="F205" s="30"/>
      <c r="G205" s="30"/>
      <c r="H205" s="30"/>
      <c r="I205" s="30"/>
      <c r="J205" s="30"/>
      <c r="K205" s="30"/>
      <c r="L205" s="30"/>
      <c r="M205" s="30"/>
      <c r="N205" s="30"/>
    </row>
    <row r="206" spans="1:14" ht="12.75">
      <c r="A206" s="30"/>
      <c r="B206" s="30"/>
      <c r="C206" s="30"/>
      <c r="D206" s="30"/>
      <c r="E206" s="30"/>
      <c r="F206" s="30"/>
      <c r="G206" s="30"/>
      <c r="H206" s="30"/>
      <c r="I206" s="30"/>
      <c r="J206" s="30"/>
      <c r="K206" s="30"/>
      <c r="L206" s="30"/>
      <c r="M206" s="30"/>
      <c r="N206" s="30"/>
    </row>
    <row r="207" spans="1:14" ht="12.75">
      <c r="A207" s="30"/>
      <c r="B207" s="30"/>
      <c r="C207" s="30"/>
      <c r="D207" s="30"/>
      <c r="E207" s="30"/>
      <c r="F207" s="30"/>
      <c r="G207" s="30"/>
      <c r="H207" s="30"/>
      <c r="I207" s="30"/>
      <c r="J207" s="30"/>
      <c r="K207" s="30"/>
      <c r="L207" s="30"/>
      <c r="M207" s="30"/>
      <c r="N207" s="30"/>
    </row>
    <row r="208" spans="1:14" ht="12.75">
      <c r="A208" s="30"/>
      <c r="B208" s="30"/>
      <c r="C208" s="30"/>
      <c r="D208" s="30"/>
      <c r="E208" s="30"/>
      <c r="F208" s="30"/>
      <c r="G208" s="30"/>
      <c r="H208" s="30"/>
      <c r="I208" s="30"/>
      <c r="J208" s="30"/>
      <c r="K208" s="30"/>
      <c r="L208" s="30"/>
      <c r="M208" s="30"/>
      <c r="N208" s="30"/>
    </row>
    <row r="209" spans="1:14" ht="12.75">
      <c r="A209" s="30"/>
      <c r="B209" s="30"/>
      <c r="C209" s="30"/>
      <c r="D209" s="30"/>
      <c r="E209" s="30"/>
      <c r="F209" s="30"/>
      <c r="G209" s="30"/>
      <c r="H209" s="30"/>
      <c r="I209" s="30"/>
      <c r="J209" s="30"/>
      <c r="K209" s="30"/>
      <c r="L209" s="30"/>
      <c r="M209" s="30"/>
      <c r="N209" s="30"/>
    </row>
    <row r="210" spans="1:14" ht="12.75">
      <c r="A210" s="30"/>
      <c r="B210" s="30"/>
      <c r="C210" s="30"/>
      <c r="D210" s="30"/>
      <c r="E210" s="30"/>
      <c r="F210" s="30"/>
      <c r="G210" s="30"/>
      <c r="H210" s="30"/>
      <c r="I210" s="30"/>
      <c r="J210" s="30"/>
      <c r="K210" s="30"/>
      <c r="L210" s="30"/>
      <c r="M210" s="30"/>
      <c r="N210" s="30"/>
    </row>
    <row r="211" spans="1:14" ht="12.75">
      <c r="A211" s="30"/>
      <c r="B211" s="30"/>
      <c r="C211" s="30"/>
      <c r="D211" s="30"/>
      <c r="E211" s="30"/>
      <c r="F211" s="30"/>
      <c r="G211" s="30"/>
      <c r="H211" s="30"/>
      <c r="I211" s="30"/>
      <c r="J211" s="30"/>
      <c r="K211" s="30"/>
      <c r="L211" s="30"/>
      <c r="M211" s="30"/>
      <c r="N211" s="30"/>
    </row>
    <row r="212" spans="1:14" ht="12.75">
      <c r="A212" s="30"/>
      <c r="B212" s="30"/>
      <c r="C212" s="30"/>
      <c r="D212" s="30"/>
      <c r="E212" s="30"/>
      <c r="F212" s="30"/>
      <c r="G212" s="30"/>
      <c r="H212" s="30"/>
      <c r="I212" s="30"/>
      <c r="J212" s="30"/>
      <c r="K212" s="30"/>
      <c r="L212" s="30"/>
      <c r="M212" s="30"/>
      <c r="N212" s="30"/>
    </row>
    <row r="213" spans="1:14" ht="12.75">
      <c r="A213" s="30"/>
      <c r="B213" s="30"/>
      <c r="C213" s="30"/>
      <c r="D213" s="30"/>
      <c r="E213" s="30"/>
      <c r="F213" s="30"/>
      <c r="G213" s="30"/>
      <c r="H213" s="30"/>
      <c r="I213" s="30"/>
      <c r="J213" s="30"/>
      <c r="K213" s="30"/>
      <c r="L213" s="30"/>
      <c r="M213" s="30"/>
      <c r="N213" s="30"/>
    </row>
    <row r="214" spans="1:14" ht="12.75">
      <c r="A214" s="30"/>
      <c r="B214" s="30"/>
      <c r="C214" s="30"/>
      <c r="D214" s="30"/>
      <c r="E214" s="30"/>
      <c r="F214" s="30"/>
      <c r="G214" s="30"/>
      <c r="H214" s="30"/>
      <c r="I214" s="30"/>
      <c r="J214" s="30"/>
      <c r="K214" s="30"/>
      <c r="L214" s="30"/>
      <c r="M214" s="30"/>
      <c r="N214" s="30"/>
    </row>
    <row r="215" spans="1:14" ht="12.75">
      <c r="A215" s="30"/>
      <c r="B215" s="30"/>
      <c r="C215" s="30"/>
      <c r="D215" s="30"/>
      <c r="E215" s="30"/>
      <c r="F215" s="30"/>
      <c r="G215" s="30"/>
      <c r="H215" s="30"/>
      <c r="I215" s="30"/>
      <c r="J215" s="30"/>
      <c r="K215" s="30"/>
      <c r="L215" s="30"/>
      <c r="M215" s="30"/>
      <c r="N215" s="30"/>
    </row>
    <row r="216" spans="1:14" ht="12.75">
      <c r="A216" s="30"/>
      <c r="B216" s="30"/>
      <c r="C216" s="30"/>
      <c r="D216" s="30"/>
      <c r="E216" s="30"/>
      <c r="F216" s="30"/>
      <c r="G216" s="30"/>
      <c r="H216" s="30"/>
      <c r="I216" s="30"/>
      <c r="J216" s="30"/>
      <c r="K216" s="30"/>
      <c r="L216" s="30"/>
      <c r="M216" s="30"/>
      <c r="N216" s="30"/>
    </row>
    <row r="217" spans="1:14" ht="12.75">
      <c r="A217" s="30"/>
      <c r="B217" s="30"/>
      <c r="C217" s="30"/>
      <c r="D217" s="30"/>
      <c r="E217" s="30"/>
      <c r="F217" s="30"/>
      <c r="G217" s="30"/>
      <c r="H217" s="30"/>
      <c r="I217" s="30"/>
      <c r="J217" s="30"/>
      <c r="K217" s="30"/>
      <c r="L217" s="30"/>
      <c r="M217" s="30"/>
      <c r="N217" s="30"/>
    </row>
    <row r="218" spans="1:14" ht="12.75">
      <c r="A218" s="30"/>
      <c r="B218" s="30"/>
      <c r="C218" s="30"/>
      <c r="D218" s="30"/>
      <c r="E218" s="30"/>
      <c r="F218" s="30"/>
      <c r="G218" s="30"/>
      <c r="H218" s="30"/>
      <c r="I218" s="30"/>
      <c r="J218" s="30"/>
      <c r="K218" s="30"/>
      <c r="L218" s="30"/>
      <c r="M218" s="30"/>
      <c r="N218" s="30"/>
    </row>
    <row r="219" spans="1:14" ht="12.75">
      <c r="A219" s="30"/>
      <c r="B219" s="30"/>
      <c r="C219" s="30"/>
      <c r="D219" s="30"/>
      <c r="E219" s="30"/>
      <c r="F219" s="30"/>
      <c r="G219" s="30"/>
      <c r="H219" s="30"/>
      <c r="I219" s="30"/>
      <c r="J219" s="30"/>
      <c r="K219" s="30"/>
      <c r="L219" s="30"/>
      <c r="M219" s="30"/>
      <c r="N219" s="30"/>
    </row>
    <row r="220" spans="1:14" ht="12.75">
      <c r="A220" s="30"/>
      <c r="B220" s="30"/>
      <c r="C220" s="30"/>
      <c r="D220" s="30"/>
      <c r="E220" s="30"/>
      <c r="F220" s="30"/>
      <c r="G220" s="30"/>
      <c r="H220" s="30"/>
      <c r="I220" s="30"/>
      <c r="J220" s="30"/>
      <c r="K220" s="30"/>
      <c r="L220" s="30"/>
      <c r="M220" s="30"/>
      <c r="N220" s="30"/>
    </row>
    <row r="221" spans="1:14" ht="12.75">
      <c r="A221" s="30"/>
      <c r="B221" s="30"/>
      <c r="C221" s="30"/>
      <c r="D221" s="30"/>
      <c r="E221" s="30"/>
      <c r="F221" s="30"/>
      <c r="G221" s="30"/>
      <c r="H221" s="30"/>
      <c r="I221" s="30"/>
      <c r="J221" s="30"/>
      <c r="K221" s="30"/>
      <c r="L221" s="30"/>
      <c r="M221" s="30"/>
      <c r="N221" s="30"/>
    </row>
    <row r="222" spans="1:14" ht="12.75">
      <c r="A222" s="30"/>
      <c r="B222" s="30"/>
      <c r="C222" s="30"/>
      <c r="D222" s="30"/>
      <c r="E222" s="30"/>
      <c r="F222" s="30"/>
      <c r="G222" s="30"/>
      <c r="H222" s="30"/>
      <c r="I222" s="30"/>
      <c r="J222" s="30"/>
      <c r="K222" s="30"/>
      <c r="L222" s="30"/>
      <c r="M222" s="30"/>
      <c r="N222" s="30"/>
    </row>
    <row r="223" spans="1:14" ht="12.75">
      <c r="A223" s="30"/>
      <c r="B223" s="30"/>
      <c r="C223" s="30"/>
      <c r="D223" s="30"/>
      <c r="E223" s="30"/>
      <c r="F223" s="30"/>
      <c r="G223" s="30"/>
      <c r="H223" s="30"/>
      <c r="I223" s="30"/>
      <c r="J223" s="30"/>
      <c r="K223" s="30"/>
      <c r="L223" s="30"/>
      <c r="M223" s="30"/>
      <c r="N223" s="30"/>
    </row>
    <row r="224" spans="1:14" ht="12.75">
      <c r="A224" s="30"/>
      <c r="B224" s="30"/>
      <c r="C224" s="30"/>
      <c r="D224" s="30"/>
      <c r="E224" s="30"/>
      <c r="F224" s="30"/>
      <c r="G224" s="30"/>
      <c r="H224" s="30"/>
      <c r="I224" s="30"/>
      <c r="J224" s="30"/>
      <c r="K224" s="30"/>
      <c r="L224" s="30"/>
      <c r="M224" s="30"/>
      <c r="N224" s="30"/>
    </row>
    <row r="225" spans="1:14" ht="12.75">
      <c r="A225" s="30"/>
      <c r="B225" s="30"/>
      <c r="C225" s="30"/>
      <c r="D225" s="30"/>
      <c r="E225" s="30"/>
      <c r="F225" s="30"/>
      <c r="G225" s="30"/>
      <c r="H225" s="30"/>
      <c r="I225" s="30"/>
      <c r="J225" s="30"/>
      <c r="K225" s="30"/>
      <c r="L225" s="30"/>
      <c r="M225" s="30"/>
      <c r="N225" s="30"/>
    </row>
    <row r="226" spans="1:14" ht="12.75">
      <c r="A226" s="30"/>
      <c r="B226" s="30"/>
      <c r="C226" s="30"/>
      <c r="D226" s="30"/>
      <c r="E226" s="30"/>
      <c r="F226" s="30"/>
      <c r="G226" s="30"/>
      <c r="H226" s="30"/>
      <c r="I226" s="30"/>
      <c r="J226" s="30"/>
      <c r="K226" s="30"/>
      <c r="L226" s="30"/>
      <c r="M226" s="30"/>
      <c r="N226" s="30"/>
    </row>
    <row r="227" spans="1:14" ht="12.75">
      <c r="A227" s="30"/>
      <c r="B227" s="30"/>
      <c r="C227" s="30"/>
      <c r="D227" s="30"/>
      <c r="E227" s="30"/>
      <c r="F227" s="30"/>
      <c r="G227" s="30"/>
      <c r="H227" s="30"/>
      <c r="I227" s="30"/>
      <c r="J227" s="30"/>
      <c r="K227" s="30"/>
      <c r="L227" s="30"/>
      <c r="M227" s="30"/>
      <c r="N227" s="30"/>
    </row>
    <row r="228" spans="1:14" ht="12.75">
      <c r="A228" s="30"/>
      <c r="B228" s="30"/>
      <c r="C228" s="30"/>
      <c r="D228" s="30"/>
      <c r="E228" s="30"/>
      <c r="F228" s="30"/>
      <c r="G228" s="30"/>
      <c r="H228" s="30"/>
      <c r="I228" s="30"/>
      <c r="J228" s="30"/>
      <c r="K228" s="30"/>
      <c r="L228" s="30"/>
      <c r="M228" s="30"/>
      <c r="N228" s="30"/>
    </row>
    <row r="229" spans="1:14" ht="12.75">
      <c r="A229" s="30"/>
      <c r="B229" s="30"/>
      <c r="C229" s="30"/>
      <c r="D229" s="30"/>
      <c r="E229" s="30"/>
      <c r="F229" s="30"/>
      <c r="G229" s="30"/>
      <c r="H229" s="30"/>
      <c r="I229" s="30"/>
      <c r="J229" s="30"/>
      <c r="K229" s="30"/>
      <c r="L229" s="30"/>
      <c r="M229" s="30"/>
      <c r="N229" s="30"/>
    </row>
    <row r="230" spans="1:14" ht="12.75">
      <c r="A230" s="30"/>
      <c r="B230" s="30"/>
      <c r="C230" s="30"/>
      <c r="D230" s="30"/>
      <c r="E230" s="30"/>
      <c r="F230" s="30"/>
      <c r="G230" s="30"/>
      <c r="H230" s="30"/>
      <c r="I230" s="30"/>
      <c r="J230" s="30"/>
      <c r="K230" s="30"/>
      <c r="L230" s="30"/>
      <c r="M230" s="30"/>
      <c r="N230" s="30"/>
    </row>
    <row r="231" spans="1:14" ht="12.75">
      <c r="A231" s="30"/>
      <c r="B231" s="30"/>
      <c r="C231" s="30"/>
      <c r="D231" s="30"/>
      <c r="E231" s="30"/>
      <c r="F231" s="30"/>
      <c r="G231" s="30"/>
      <c r="H231" s="30"/>
      <c r="I231" s="30"/>
      <c r="J231" s="30"/>
      <c r="K231" s="30"/>
      <c r="L231" s="30"/>
      <c r="M231" s="30"/>
      <c r="N231" s="30"/>
    </row>
    <row r="232" spans="1:14" ht="12.75">
      <c r="A232" s="30"/>
      <c r="B232" s="30"/>
      <c r="C232" s="30"/>
      <c r="D232" s="30"/>
      <c r="E232" s="30"/>
      <c r="F232" s="30"/>
      <c r="G232" s="30"/>
      <c r="H232" s="30"/>
      <c r="I232" s="30"/>
      <c r="J232" s="30"/>
      <c r="K232" s="30"/>
      <c r="L232" s="30"/>
      <c r="M232" s="30"/>
      <c r="N232" s="30"/>
    </row>
    <row r="233" spans="1:14" ht="12.75">
      <c r="A233" s="30"/>
      <c r="B233" s="30"/>
      <c r="C233" s="30"/>
      <c r="D233" s="30"/>
      <c r="E233" s="30"/>
      <c r="F233" s="30"/>
      <c r="G233" s="30"/>
      <c r="H233" s="30"/>
      <c r="I233" s="30"/>
      <c r="J233" s="30"/>
      <c r="K233" s="30"/>
      <c r="L233" s="30"/>
      <c r="M233" s="30"/>
      <c r="N233" s="30"/>
    </row>
    <row r="234" spans="1:14" ht="12.75">
      <c r="A234" s="30"/>
      <c r="B234" s="30"/>
      <c r="C234" s="30"/>
      <c r="D234" s="30"/>
      <c r="E234" s="30"/>
      <c r="F234" s="30"/>
      <c r="G234" s="30"/>
      <c r="H234" s="30"/>
      <c r="I234" s="30"/>
      <c r="J234" s="30"/>
      <c r="K234" s="30"/>
      <c r="L234" s="30"/>
      <c r="M234" s="30"/>
      <c r="N234" s="30"/>
    </row>
    <row r="235" spans="1:14" ht="12.75">
      <c r="A235" s="30"/>
      <c r="B235" s="30"/>
      <c r="C235" s="30"/>
      <c r="D235" s="30"/>
      <c r="E235" s="30"/>
      <c r="F235" s="30"/>
      <c r="G235" s="30"/>
      <c r="H235" s="30"/>
      <c r="I235" s="30"/>
      <c r="J235" s="30"/>
      <c r="K235" s="30"/>
      <c r="L235" s="30"/>
      <c r="M235" s="30"/>
      <c r="N235" s="30"/>
    </row>
    <row r="236" spans="1:14" ht="12.75">
      <c r="A236" s="30"/>
      <c r="B236" s="30"/>
      <c r="C236" s="30"/>
      <c r="D236" s="30"/>
      <c r="E236" s="30"/>
      <c r="F236" s="30"/>
      <c r="G236" s="30"/>
      <c r="H236" s="30"/>
      <c r="I236" s="30"/>
      <c r="J236" s="30"/>
      <c r="K236" s="30"/>
      <c r="L236" s="30"/>
      <c r="M236" s="30"/>
      <c r="N236" s="30"/>
    </row>
    <row r="237" spans="1:14" ht="12.75">
      <c r="A237" s="30"/>
      <c r="B237" s="30"/>
      <c r="C237" s="30"/>
      <c r="D237" s="30"/>
      <c r="E237" s="30"/>
      <c r="F237" s="30"/>
      <c r="G237" s="30"/>
      <c r="H237" s="30"/>
      <c r="I237" s="30"/>
      <c r="J237" s="30"/>
      <c r="K237" s="30"/>
      <c r="L237" s="30"/>
      <c r="M237" s="30"/>
      <c r="N237" s="30"/>
    </row>
    <row r="238" spans="1:14" ht="12.75">
      <c r="A238" s="30"/>
      <c r="B238" s="30"/>
      <c r="C238" s="30"/>
      <c r="D238" s="30"/>
      <c r="E238" s="30"/>
      <c r="F238" s="30"/>
      <c r="G238" s="30"/>
      <c r="H238" s="30"/>
      <c r="I238" s="30"/>
      <c r="J238" s="30"/>
      <c r="K238" s="30"/>
      <c r="L238" s="30"/>
      <c r="M238" s="30"/>
      <c r="N238" s="30"/>
    </row>
    <row r="239" spans="1:14" ht="12.75">
      <c r="A239" s="30"/>
      <c r="B239" s="30"/>
      <c r="C239" s="30"/>
      <c r="D239" s="30"/>
      <c r="E239" s="30"/>
      <c r="F239" s="30"/>
      <c r="G239" s="30"/>
      <c r="H239" s="30"/>
      <c r="I239" s="30"/>
      <c r="J239" s="30"/>
      <c r="K239" s="30"/>
      <c r="L239" s="30"/>
      <c r="M239" s="30"/>
      <c r="N239" s="30"/>
    </row>
    <row r="240" spans="1:14" ht="12.75">
      <c r="A240" s="30"/>
      <c r="B240" s="30"/>
      <c r="C240" s="30"/>
      <c r="D240" s="30"/>
      <c r="E240" s="30"/>
      <c r="F240" s="30"/>
      <c r="G240" s="30"/>
      <c r="H240" s="30"/>
      <c r="I240" s="30"/>
      <c r="J240" s="30"/>
      <c r="K240" s="30"/>
      <c r="L240" s="30"/>
      <c r="M240" s="30"/>
      <c r="N240" s="30"/>
    </row>
    <row r="241" spans="1:14" ht="12.75">
      <c r="A241" s="30"/>
      <c r="B241" s="30"/>
      <c r="C241" s="30"/>
      <c r="D241" s="30"/>
      <c r="E241" s="30"/>
      <c r="F241" s="30"/>
      <c r="G241" s="30"/>
      <c r="H241" s="30"/>
      <c r="I241" s="30"/>
      <c r="J241" s="30"/>
      <c r="K241" s="30"/>
      <c r="L241" s="30"/>
      <c r="M241" s="30"/>
      <c r="N241" s="30"/>
    </row>
    <row r="242" spans="1:14" ht="12.75">
      <c r="A242" s="30"/>
      <c r="B242" s="30"/>
      <c r="C242" s="30"/>
      <c r="D242" s="30"/>
      <c r="E242" s="30"/>
      <c r="F242" s="30"/>
      <c r="G242" s="30"/>
      <c r="H242" s="30"/>
      <c r="I242" s="30"/>
      <c r="J242" s="30"/>
      <c r="K242" s="30"/>
      <c r="L242" s="30"/>
      <c r="M242" s="30"/>
      <c r="N242" s="30"/>
    </row>
    <row r="243" spans="1:14" ht="12.75">
      <c r="A243" s="30"/>
      <c r="B243" s="30"/>
      <c r="C243" s="30"/>
      <c r="D243" s="30"/>
      <c r="E243" s="30"/>
      <c r="F243" s="30"/>
      <c r="G243" s="30"/>
      <c r="H243" s="30"/>
      <c r="I243" s="30"/>
      <c r="J243" s="30"/>
      <c r="K243" s="30"/>
      <c r="L243" s="30"/>
      <c r="M243" s="30"/>
      <c r="N243" s="30"/>
    </row>
    <row r="244" spans="1:14" ht="12.75">
      <c r="A244" s="30"/>
      <c r="B244" s="30"/>
      <c r="C244" s="30"/>
      <c r="D244" s="30"/>
      <c r="E244" s="30"/>
      <c r="F244" s="30"/>
      <c r="G244" s="30"/>
      <c r="H244" s="30"/>
      <c r="I244" s="30"/>
      <c r="J244" s="30"/>
      <c r="K244" s="30"/>
      <c r="L244" s="30"/>
      <c r="M244" s="30"/>
      <c r="N244" s="30"/>
    </row>
    <row r="245" spans="1:14" ht="12.75">
      <c r="A245" s="30"/>
      <c r="B245" s="30"/>
      <c r="C245" s="30"/>
      <c r="D245" s="30"/>
      <c r="E245" s="30"/>
      <c r="F245" s="30"/>
      <c r="G245" s="30"/>
      <c r="H245" s="30"/>
      <c r="I245" s="30"/>
      <c r="J245" s="30"/>
      <c r="K245" s="30"/>
      <c r="L245" s="30"/>
      <c r="M245" s="30"/>
      <c r="N245" s="30"/>
    </row>
    <row r="246" spans="1:14" ht="12.75">
      <c r="A246" s="30"/>
      <c r="B246" s="30"/>
      <c r="C246" s="30"/>
      <c r="D246" s="30"/>
      <c r="E246" s="30"/>
      <c r="F246" s="30"/>
      <c r="G246" s="30"/>
      <c r="H246" s="30"/>
      <c r="I246" s="30"/>
      <c r="J246" s="30"/>
      <c r="K246" s="30"/>
      <c r="L246" s="30"/>
      <c r="M246" s="30"/>
      <c r="N246" s="30"/>
    </row>
    <row r="247" spans="1:14" ht="12.75">
      <c r="A247" s="30"/>
      <c r="B247" s="30"/>
      <c r="C247" s="30"/>
      <c r="D247" s="30"/>
      <c r="E247" s="30"/>
      <c r="F247" s="30"/>
      <c r="G247" s="30"/>
      <c r="H247" s="30"/>
      <c r="I247" s="30"/>
      <c r="J247" s="30"/>
      <c r="K247" s="30"/>
      <c r="L247" s="30"/>
      <c r="M247" s="30"/>
      <c r="N247" s="30"/>
    </row>
    <row r="248" spans="1:14" ht="12.75">
      <c r="A248" s="30"/>
      <c r="B248" s="30"/>
      <c r="C248" s="30"/>
      <c r="D248" s="30"/>
      <c r="E248" s="30"/>
      <c r="F248" s="30"/>
      <c r="G248" s="30"/>
      <c r="H248" s="30"/>
      <c r="I248" s="30"/>
      <c r="J248" s="30"/>
      <c r="K248" s="30"/>
      <c r="L248" s="30"/>
      <c r="M248" s="30"/>
      <c r="N248" s="30"/>
    </row>
    <row r="249" spans="1:14" ht="12.75">
      <c r="A249" s="30"/>
      <c r="B249" s="30"/>
      <c r="C249" s="30"/>
      <c r="D249" s="30"/>
      <c r="E249" s="30"/>
      <c r="F249" s="30"/>
      <c r="G249" s="30"/>
      <c r="H249" s="30"/>
      <c r="I249" s="30"/>
      <c r="J249" s="30"/>
      <c r="K249" s="30"/>
      <c r="L249" s="30"/>
      <c r="M249" s="30"/>
      <c r="N249" s="30"/>
    </row>
    <row r="250" spans="1:14" ht="12.75">
      <c r="A250" s="30"/>
      <c r="B250" s="30"/>
      <c r="C250" s="30"/>
      <c r="D250" s="30"/>
      <c r="E250" s="30"/>
      <c r="F250" s="30"/>
      <c r="G250" s="30"/>
      <c r="H250" s="30"/>
      <c r="I250" s="30"/>
      <c r="J250" s="30"/>
      <c r="K250" s="30"/>
      <c r="L250" s="30"/>
      <c r="M250" s="30"/>
      <c r="N250" s="30"/>
    </row>
    <row r="251" spans="1:14" ht="12.75">
      <c r="A251" s="30"/>
      <c r="B251" s="30"/>
      <c r="C251" s="30"/>
      <c r="D251" s="30"/>
      <c r="E251" s="30"/>
      <c r="F251" s="30"/>
      <c r="G251" s="30"/>
      <c r="H251" s="30"/>
      <c r="I251" s="30"/>
      <c r="J251" s="30"/>
      <c r="K251" s="30"/>
      <c r="L251" s="30"/>
      <c r="M251" s="30"/>
      <c r="N251" s="30"/>
    </row>
    <row r="252" spans="1:14" ht="12.75">
      <c r="A252" s="30"/>
      <c r="B252" s="30"/>
      <c r="C252" s="30"/>
      <c r="D252" s="30"/>
      <c r="E252" s="30"/>
      <c r="F252" s="30"/>
      <c r="G252" s="30"/>
      <c r="H252" s="30"/>
      <c r="I252" s="30"/>
      <c r="J252" s="30"/>
      <c r="K252" s="30"/>
      <c r="L252" s="30"/>
      <c r="M252" s="30"/>
      <c r="N252" s="30"/>
    </row>
    <row r="253" spans="1:14" ht="12.75">
      <c r="A253" s="30"/>
      <c r="B253" s="30"/>
      <c r="C253" s="30"/>
      <c r="D253" s="30"/>
      <c r="E253" s="30"/>
      <c r="F253" s="30"/>
      <c r="G253" s="30"/>
      <c r="H253" s="30"/>
      <c r="I253" s="30"/>
      <c r="J253" s="30"/>
      <c r="K253" s="30"/>
      <c r="L253" s="30"/>
      <c r="M253" s="30"/>
      <c r="N253" s="30"/>
    </row>
    <row r="254" spans="1:14" ht="12.75">
      <c r="A254" s="30"/>
      <c r="B254" s="30"/>
      <c r="C254" s="30"/>
      <c r="D254" s="30"/>
      <c r="E254" s="30"/>
      <c r="F254" s="30"/>
      <c r="G254" s="30"/>
      <c r="H254" s="30"/>
      <c r="I254" s="30"/>
      <c r="J254" s="30"/>
      <c r="K254" s="30"/>
      <c r="L254" s="30"/>
      <c r="M254" s="30"/>
      <c r="N254" s="30"/>
    </row>
    <row r="255" spans="1:14" ht="12.75">
      <c r="A255" s="30"/>
      <c r="B255" s="30"/>
      <c r="C255" s="30"/>
      <c r="D255" s="30"/>
      <c r="E255" s="30"/>
      <c r="F255" s="30"/>
      <c r="G255" s="30"/>
      <c r="H255" s="30"/>
      <c r="I255" s="30"/>
      <c r="J255" s="30"/>
      <c r="K255" s="30"/>
      <c r="L255" s="30"/>
      <c r="M255" s="30"/>
      <c r="N255" s="30"/>
    </row>
    <row r="256" spans="1:14" ht="12.75">
      <c r="A256" s="30"/>
      <c r="B256" s="30"/>
      <c r="C256" s="30"/>
      <c r="D256" s="30"/>
      <c r="E256" s="30"/>
      <c r="F256" s="30"/>
      <c r="G256" s="30"/>
      <c r="H256" s="30"/>
      <c r="I256" s="30"/>
      <c r="J256" s="30"/>
      <c r="K256" s="30"/>
      <c r="L256" s="30"/>
      <c r="M256" s="30"/>
      <c r="N256" s="30"/>
    </row>
    <row r="257" spans="1:14" ht="12.75">
      <c r="A257" s="30"/>
      <c r="B257" s="30"/>
      <c r="C257" s="30"/>
      <c r="D257" s="30"/>
      <c r="E257" s="30"/>
      <c r="F257" s="30"/>
      <c r="G257" s="30"/>
      <c r="H257" s="30"/>
      <c r="I257" s="30"/>
      <c r="J257" s="30"/>
      <c r="K257" s="30"/>
      <c r="L257" s="30"/>
      <c r="M257" s="30"/>
      <c r="N257" s="30"/>
    </row>
    <row r="258" spans="1:14" ht="12.75">
      <c r="A258" s="30"/>
      <c r="B258" s="30"/>
      <c r="C258" s="30"/>
      <c r="D258" s="30"/>
      <c r="E258" s="30"/>
      <c r="F258" s="30"/>
      <c r="G258" s="30"/>
      <c r="H258" s="30"/>
      <c r="I258" s="30"/>
      <c r="J258" s="30"/>
      <c r="K258" s="30"/>
      <c r="L258" s="30"/>
      <c r="M258" s="30"/>
      <c r="N258" s="30"/>
    </row>
    <row r="259" spans="1:14" ht="12.75">
      <c r="A259" s="30"/>
      <c r="B259" s="30"/>
      <c r="C259" s="30"/>
      <c r="D259" s="30"/>
      <c r="E259" s="30"/>
      <c r="F259" s="30"/>
      <c r="G259" s="30"/>
      <c r="H259" s="30"/>
      <c r="I259" s="30"/>
      <c r="J259" s="30"/>
      <c r="K259" s="30"/>
      <c r="L259" s="30"/>
      <c r="M259" s="30"/>
      <c r="N259" s="30"/>
    </row>
    <row r="260" spans="1:14" ht="12.75">
      <c r="A260" s="30"/>
      <c r="B260" s="30"/>
      <c r="C260" s="30"/>
      <c r="D260" s="30"/>
      <c r="E260" s="30"/>
      <c r="F260" s="30"/>
      <c r="G260" s="30"/>
      <c r="H260" s="30"/>
      <c r="I260" s="30"/>
      <c r="J260" s="30"/>
      <c r="K260" s="30"/>
      <c r="L260" s="30"/>
      <c r="M260" s="30"/>
      <c r="N260" s="30"/>
    </row>
    <row r="261" spans="1:14" ht="12.75">
      <c r="A261" s="30"/>
      <c r="B261" s="30"/>
      <c r="C261" s="30"/>
      <c r="D261" s="30"/>
      <c r="E261" s="30"/>
      <c r="F261" s="30"/>
      <c r="G261" s="30"/>
      <c r="H261" s="30"/>
      <c r="I261" s="30"/>
      <c r="J261" s="30"/>
      <c r="K261" s="30"/>
      <c r="L261" s="30"/>
      <c r="M261" s="30"/>
      <c r="N261" s="30"/>
    </row>
    <row r="262" spans="1:14" ht="12.75">
      <c r="A262" s="30"/>
      <c r="B262" s="30"/>
      <c r="C262" s="30"/>
      <c r="D262" s="30"/>
      <c r="E262" s="30"/>
      <c r="F262" s="30"/>
      <c r="G262" s="30"/>
      <c r="H262" s="30"/>
      <c r="I262" s="30"/>
      <c r="J262" s="30"/>
      <c r="K262" s="30"/>
      <c r="L262" s="30"/>
      <c r="M262" s="30"/>
      <c r="N262" s="30"/>
    </row>
    <row r="263" spans="1:14" ht="12.75">
      <c r="A263" s="30"/>
      <c r="B263" s="30"/>
      <c r="C263" s="30"/>
      <c r="D263" s="30"/>
      <c r="E263" s="30"/>
      <c r="F263" s="30"/>
      <c r="G263" s="30"/>
      <c r="H263" s="30"/>
      <c r="I263" s="30"/>
      <c r="J263" s="30"/>
      <c r="K263" s="30"/>
      <c r="L263" s="30"/>
      <c r="M263" s="30"/>
      <c r="N263" s="30"/>
    </row>
    <row r="264" spans="1:14" ht="12.75">
      <c r="A264" s="30"/>
      <c r="B264" s="30"/>
      <c r="C264" s="30"/>
      <c r="D264" s="30"/>
      <c r="E264" s="30"/>
      <c r="F264" s="30"/>
      <c r="G264" s="30"/>
      <c r="H264" s="30"/>
      <c r="I264" s="30"/>
      <c r="J264" s="30"/>
      <c r="K264" s="30"/>
      <c r="L264" s="30"/>
      <c r="M264" s="30"/>
      <c r="N264" s="30"/>
    </row>
    <row r="265" spans="1:14" ht="12.75">
      <c r="A265" s="30"/>
      <c r="B265" s="30"/>
      <c r="C265" s="30"/>
      <c r="D265" s="30"/>
      <c r="E265" s="30"/>
      <c r="F265" s="30"/>
      <c r="G265" s="30"/>
      <c r="H265" s="30"/>
      <c r="I265" s="30"/>
      <c r="J265" s="30"/>
      <c r="K265" s="30"/>
      <c r="L265" s="30"/>
      <c r="M265" s="30"/>
      <c r="N265" s="30"/>
    </row>
    <row r="266" spans="1:14" ht="12.75">
      <c r="A266" s="30"/>
      <c r="B266" s="30"/>
      <c r="C266" s="30"/>
      <c r="D266" s="30"/>
      <c r="E266" s="30"/>
      <c r="F266" s="30"/>
      <c r="G266" s="30"/>
      <c r="H266" s="30"/>
      <c r="I266" s="30"/>
      <c r="J266" s="30"/>
      <c r="K266" s="30"/>
      <c r="L266" s="30"/>
      <c r="M266" s="30"/>
      <c r="N266" s="30"/>
    </row>
    <row r="267" spans="1:14" ht="12.75">
      <c r="A267" s="30"/>
      <c r="B267" s="30"/>
      <c r="C267" s="30"/>
      <c r="D267" s="30"/>
      <c r="E267" s="30"/>
      <c r="F267" s="30"/>
      <c r="G267" s="30"/>
      <c r="H267" s="30"/>
      <c r="I267" s="30"/>
      <c r="J267" s="30"/>
      <c r="K267" s="30"/>
      <c r="L267" s="30"/>
      <c r="M267" s="30"/>
      <c r="N267" s="30"/>
    </row>
    <row r="268" spans="1:14" ht="12.75">
      <c r="A268" s="30"/>
      <c r="B268" s="30"/>
      <c r="C268" s="30"/>
      <c r="D268" s="30"/>
      <c r="E268" s="30"/>
      <c r="F268" s="30"/>
      <c r="G268" s="30"/>
      <c r="H268" s="30"/>
      <c r="I268" s="30"/>
      <c r="J268" s="30"/>
      <c r="K268" s="30"/>
      <c r="L268" s="30"/>
      <c r="M268" s="30"/>
      <c r="N268" s="30"/>
    </row>
    <row r="269" spans="1:14" ht="12.75">
      <c r="A269" s="30"/>
      <c r="B269" s="30"/>
      <c r="C269" s="30"/>
      <c r="D269" s="30"/>
      <c r="E269" s="30"/>
      <c r="F269" s="30"/>
      <c r="G269" s="30"/>
      <c r="H269" s="30"/>
      <c r="I269" s="30"/>
      <c r="J269" s="30"/>
      <c r="K269" s="30"/>
      <c r="L269" s="30"/>
      <c r="M269" s="30"/>
      <c r="N269" s="30"/>
    </row>
    <row r="270" spans="1:14" ht="12.75">
      <c r="A270" s="30"/>
      <c r="B270" s="30"/>
      <c r="C270" s="30"/>
      <c r="D270" s="30"/>
      <c r="E270" s="30"/>
      <c r="F270" s="30"/>
      <c r="G270" s="30"/>
      <c r="H270" s="30"/>
      <c r="I270" s="30"/>
      <c r="J270" s="30"/>
      <c r="K270" s="30"/>
      <c r="L270" s="30"/>
      <c r="M270" s="30"/>
      <c r="N270" s="30"/>
    </row>
    <row r="271" spans="1:14" ht="12.75">
      <c r="A271" s="30"/>
      <c r="B271" s="30"/>
      <c r="C271" s="30"/>
      <c r="D271" s="30"/>
      <c r="E271" s="30"/>
      <c r="F271" s="30"/>
      <c r="G271" s="30"/>
      <c r="H271" s="30"/>
      <c r="I271" s="30"/>
      <c r="J271" s="30"/>
      <c r="K271" s="30"/>
      <c r="L271" s="30"/>
      <c r="M271" s="30"/>
      <c r="N271" s="30"/>
    </row>
    <row r="272" spans="1:14" ht="12.75">
      <c r="A272" s="30"/>
      <c r="B272" s="30"/>
      <c r="C272" s="30"/>
      <c r="D272" s="30"/>
      <c r="E272" s="30"/>
      <c r="F272" s="30"/>
      <c r="G272" s="30"/>
      <c r="H272" s="30"/>
      <c r="I272" s="30"/>
      <c r="J272" s="30"/>
      <c r="K272" s="30"/>
      <c r="L272" s="30"/>
      <c r="M272" s="30"/>
      <c r="N272" s="30"/>
    </row>
    <row r="273" spans="1:14" ht="12.75">
      <c r="A273" s="30"/>
      <c r="B273" s="30"/>
      <c r="C273" s="30"/>
      <c r="D273" s="30"/>
      <c r="E273" s="30"/>
      <c r="F273" s="30"/>
      <c r="G273" s="30"/>
      <c r="H273" s="30"/>
      <c r="I273" s="30"/>
      <c r="J273" s="30"/>
      <c r="K273" s="30"/>
      <c r="L273" s="30"/>
      <c r="M273" s="30"/>
      <c r="N273" s="30"/>
    </row>
    <row r="274" spans="1:14" ht="12.75">
      <c r="A274" s="30"/>
      <c r="B274" s="30"/>
      <c r="C274" s="30"/>
      <c r="D274" s="30"/>
      <c r="E274" s="30"/>
      <c r="F274" s="30"/>
      <c r="G274" s="30"/>
      <c r="H274" s="30"/>
      <c r="I274" s="30"/>
      <c r="J274" s="30"/>
      <c r="K274" s="30"/>
      <c r="L274" s="30"/>
      <c r="M274" s="30"/>
      <c r="N274" s="30"/>
    </row>
    <row r="275" spans="1:14" ht="12.75">
      <c r="A275" s="30"/>
      <c r="B275" s="30"/>
      <c r="C275" s="30"/>
      <c r="D275" s="30"/>
      <c r="E275" s="30"/>
      <c r="F275" s="30"/>
      <c r="G275" s="30"/>
      <c r="H275" s="30"/>
      <c r="I275" s="30"/>
      <c r="J275" s="30"/>
      <c r="K275" s="30"/>
      <c r="L275" s="30"/>
      <c r="M275" s="30"/>
      <c r="N275" s="30"/>
    </row>
    <row r="276" spans="1:14" ht="12.75">
      <c r="A276" s="30"/>
      <c r="B276" s="30"/>
      <c r="C276" s="30"/>
      <c r="D276" s="30"/>
      <c r="E276" s="30"/>
      <c r="F276" s="30"/>
      <c r="G276" s="30"/>
      <c r="H276" s="30"/>
      <c r="I276" s="30"/>
      <c r="J276" s="30"/>
      <c r="K276" s="30"/>
      <c r="L276" s="30"/>
      <c r="M276" s="30"/>
      <c r="N276" s="30"/>
    </row>
    <row r="277" spans="1:14" ht="12.75">
      <c r="A277" s="30"/>
      <c r="B277" s="30"/>
      <c r="C277" s="30"/>
      <c r="D277" s="30"/>
      <c r="E277" s="30"/>
      <c r="F277" s="30"/>
      <c r="G277" s="30"/>
      <c r="H277" s="30"/>
      <c r="I277" s="30"/>
      <c r="J277" s="30"/>
      <c r="K277" s="30"/>
      <c r="L277" s="30"/>
      <c r="M277" s="30"/>
      <c r="N277" s="30"/>
    </row>
    <row r="278" spans="1:14" ht="12.75">
      <c r="A278" s="30"/>
      <c r="B278" s="30"/>
      <c r="C278" s="30"/>
      <c r="D278" s="30"/>
      <c r="E278" s="30"/>
      <c r="F278" s="30"/>
      <c r="G278" s="30"/>
      <c r="H278" s="30"/>
      <c r="I278" s="30"/>
      <c r="J278" s="30"/>
      <c r="K278" s="30"/>
      <c r="L278" s="30"/>
      <c r="M278" s="30"/>
      <c r="N278" s="30"/>
    </row>
    <row r="279" spans="1:14" ht="12.75">
      <c r="A279" s="30"/>
      <c r="B279" s="30"/>
      <c r="C279" s="30"/>
      <c r="D279" s="30"/>
      <c r="E279" s="30"/>
      <c r="F279" s="30"/>
      <c r="G279" s="30"/>
      <c r="H279" s="30"/>
      <c r="I279" s="30"/>
      <c r="J279" s="30"/>
      <c r="K279" s="30"/>
      <c r="L279" s="30"/>
      <c r="M279" s="30"/>
      <c r="N279" s="30"/>
    </row>
    <row r="280" spans="1:14" ht="12.75">
      <c r="A280" s="30"/>
      <c r="B280" s="30"/>
      <c r="C280" s="30"/>
      <c r="D280" s="30"/>
      <c r="E280" s="30"/>
      <c r="F280" s="30"/>
      <c r="G280" s="30"/>
      <c r="H280" s="30"/>
      <c r="I280" s="30"/>
      <c r="J280" s="30"/>
      <c r="K280" s="30"/>
      <c r="L280" s="30"/>
      <c r="M280" s="30"/>
      <c r="N280" s="30"/>
    </row>
    <row r="281" spans="1:14" ht="12.75">
      <c r="A281" s="30"/>
      <c r="B281" s="30"/>
      <c r="C281" s="30"/>
      <c r="D281" s="30"/>
      <c r="E281" s="30"/>
      <c r="F281" s="30"/>
      <c r="G281" s="30"/>
      <c r="H281" s="30"/>
      <c r="I281" s="30"/>
      <c r="J281" s="30"/>
      <c r="K281" s="30"/>
      <c r="L281" s="30"/>
      <c r="M281" s="30"/>
      <c r="N281" s="30"/>
    </row>
    <row r="282" spans="1:14" ht="12.75">
      <c r="A282" s="30"/>
      <c r="B282" s="30"/>
      <c r="C282" s="30"/>
      <c r="D282" s="30"/>
      <c r="E282" s="30"/>
      <c r="F282" s="30"/>
      <c r="G282" s="30"/>
      <c r="H282" s="30"/>
      <c r="I282" s="30"/>
      <c r="J282" s="30"/>
      <c r="K282" s="30"/>
      <c r="L282" s="30"/>
      <c r="M282" s="30"/>
      <c r="N282" s="30"/>
    </row>
    <row r="283" spans="1:14" ht="12.75">
      <c r="A283" s="30"/>
      <c r="B283" s="30"/>
      <c r="C283" s="30"/>
      <c r="D283" s="30"/>
      <c r="E283" s="30"/>
      <c r="F283" s="30"/>
      <c r="G283" s="30"/>
      <c r="H283" s="30"/>
      <c r="I283" s="30"/>
      <c r="J283" s="30"/>
      <c r="K283" s="30"/>
      <c r="L283" s="30"/>
      <c r="M283" s="30"/>
      <c r="N283" s="30"/>
    </row>
    <row r="284" spans="1:14" ht="12.75">
      <c r="A284" s="30"/>
      <c r="B284" s="30"/>
      <c r="C284" s="30"/>
      <c r="D284" s="30"/>
      <c r="E284" s="30"/>
      <c r="F284" s="30"/>
      <c r="G284" s="30"/>
      <c r="H284" s="30"/>
      <c r="I284" s="30"/>
      <c r="J284" s="30"/>
      <c r="K284" s="30"/>
      <c r="L284" s="30"/>
      <c r="M284" s="30"/>
      <c r="N284" s="30"/>
    </row>
    <row r="285" spans="1:14" ht="12.75">
      <c r="A285" s="30"/>
      <c r="B285" s="30"/>
      <c r="C285" s="30"/>
      <c r="D285" s="30"/>
      <c r="E285" s="30"/>
      <c r="F285" s="30"/>
      <c r="G285" s="30"/>
      <c r="H285" s="30"/>
      <c r="I285" s="30"/>
      <c r="J285" s="30"/>
      <c r="K285" s="30"/>
      <c r="L285" s="30"/>
      <c r="M285" s="30"/>
      <c r="N285" s="30"/>
    </row>
    <row r="286" spans="1:14" ht="12.75">
      <c r="A286" s="30"/>
      <c r="B286" s="30"/>
      <c r="C286" s="30"/>
      <c r="D286" s="30"/>
      <c r="E286" s="30"/>
      <c r="F286" s="30"/>
      <c r="G286" s="30"/>
      <c r="H286" s="30"/>
      <c r="I286" s="30"/>
      <c r="J286" s="30"/>
      <c r="K286" s="30"/>
      <c r="L286" s="30"/>
      <c r="M286" s="30"/>
      <c r="N286" s="30"/>
    </row>
    <row r="287" spans="1:14" ht="12.75">
      <c r="A287" s="30"/>
      <c r="B287" s="30"/>
      <c r="C287" s="30"/>
      <c r="D287" s="30"/>
      <c r="E287" s="30"/>
      <c r="F287" s="30"/>
      <c r="G287" s="30"/>
      <c r="H287" s="30"/>
      <c r="I287" s="30"/>
      <c r="J287" s="30"/>
      <c r="K287" s="30"/>
      <c r="L287" s="30"/>
      <c r="M287" s="30"/>
      <c r="N287" s="30"/>
    </row>
    <row r="288" spans="1:14" ht="12.75">
      <c r="A288" s="30"/>
      <c r="B288" s="30"/>
      <c r="C288" s="30"/>
      <c r="D288" s="30"/>
      <c r="E288" s="30"/>
      <c r="F288" s="30"/>
      <c r="G288" s="30"/>
      <c r="H288" s="30"/>
      <c r="I288" s="30"/>
      <c r="J288" s="30"/>
      <c r="K288" s="30"/>
      <c r="L288" s="30"/>
      <c r="M288" s="30"/>
      <c r="N288" s="30"/>
    </row>
    <row r="289" spans="1:14" ht="12.75">
      <c r="A289" s="30"/>
      <c r="B289" s="30"/>
      <c r="C289" s="30"/>
      <c r="D289" s="30"/>
      <c r="E289" s="30"/>
      <c r="F289" s="30"/>
      <c r="G289" s="30"/>
      <c r="H289" s="30"/>
      <c r="I289" s="30"/>
      <c r="J289" s="30"/>
      <c r="K289" s="30"/>
      <c r="L289" s="30"/>
      <c r="M289" s="30"/>
      <c r="N289" s="30"/>
    </row>
    <row r="290" spans="1:14" ht="12.75">
      <c r="A290" s="30"/>
      <c r="B290" s="30"/>
      <c r="C290" s="30"/>
      <c r="D290" s="30"/>
      <c r="E290" s="30"/>
      <c r="F290" s="30"/>
      <c r="G290" s="30"/>
      <c r="H290" s="30"/>
      <c r="I290" s="30"/>
      <c r="J290" s="30"/>
      <c r="K290" s="30"/>
      <c r="L290" s="30"/>
      <c r="M290" s="30"/>
      <c r="N290" s="30"/>
    </row>
    <row r="291" spans="1:14" ht="12.75">
      <c r="A291" s="30"/>
      <c r="B291" s="30"/>
      <c r="C291" s="30"/>
      <c r="D291" s="30"/>
      <c r="E291" s="30"/>
      <c r="F291" s="30"/>
      <c r="G291" s="30"/>
      <c r="H291" s="30"/>
      <c r="I291" s="30"/>
      <c r="J291" s="30"/>
      <c r="K291" s="30"/>
      <c r="L291" s="30"/>
      <c r="M291" s="30"/>
      <c r="N291" s="30"/>
    </row>
    <row r="292" spans="1:14" ht="12.75">
      <c r="A292" s="30"/>
      <c r="B292" s="30"/>
      <c r="C292" s="30"/>
      <c r="D292" s="30"/>
      <c r="E292" s="30"/>
      <c r="F292" s="30"/>
      <c r="G292" s="30"/>
      <c r="H292" s="30"/>
      <c r="I292" s="30"/>
      <c r="J292" s="30"/>
      <c r="K292" s="30"/>
      <c r="L292" s="30"/>
      <c r="M292" s="30"/>
      <c r="N292" s="30"/>
    </row>
    <row r="293" spans="1:14" ht="12.75">
      <c r="A293" s="30"/>
      <c r="B293" s="30"/>
      <c r="C293" s="30"/>
      <c r="D293" s="30"/>
      <c r="E293" s="30"/>
      <c r="F293" s="30"/>
      <c r="G293" s="30"/>
      <c r="H293" s="30"/>
      <c r="I293" s="30"/>
      <c r="J293" s="30"/>
      <c r="K293" s="30"/>
      <c r="L293" s="30"/>
      <c r="M293" s="30"/>
      <c r="N293" s="30"/>
    </row>
    <row r="294" spans="1:14" ht="12.75">
      <c r="A294" s="30"/>
      <c r="B294" s="30"/>
      <c r="C294" s="30"/>
      <c r="D294" s="30"/>
      <c r="E294" s="30"/>
      <c r="F294" s="30"/>
      <c r="G294" s="30"/>
      <c r="H294" s="30"/>
      <c r="I294" s="30"/>
      <c r="J294" s="30"/>
      <c r="K294" s="30"/>
      <c r="L294" s="30"/>
      <c r="M294" s="30"/>
      <c r="N294" s="30"/>
    </row>
    <row r="295" spans="1:14" ht="12.75">
      <c r="A295" s="30"/>
      <c r="B295" s="30"/>
      <c r="C295" s="30"/>
      <c r="D295" s="30"/>
      <c r="E295" s="30"/>
      <c r="F295" s="30"/>
      <c r="G295" s="30"/>
      <c r="H295" s="30"/>
      <c r="I295" s="30"/>
      <c r="J295" s="30"/>
      <c r="K295" s="30"/>
      <c r="L295" s="30"/>
      <c r="M295" s="30"/>
      <c r="N295" s="30"/>
    </row>
    <row r="296" spans="1:14" ht="12.75">
      <c r="A296" s="30"/>
      <c r="B296" s="30"/>
      <c r="C296" s="30"/>
      <c r="D296" s="30"/>
      <c r="E296" s="30"/>
      <c r="F296" s="30"/>
      <c r="G296" s="30"/>
      <c r="H296" s="30"/>
      <c r="I296" s="30"/>
      <c r="J296" s="30"/>
      <c r="K296" s="30"/>
      <c r="L296" s="30"/>
      <c r="M296" s="30"/>
      <c r="N296" s="30"/>
    </row>
    <row r="297" spans="1:14" ht="12.75">
      <c r="A297" s="30"/>
      <c r="B297" s="30"/>
      <c r="C297" s="30"/>
      <c r="D297" s="30"/>
      <c r="E297" s="30"/>
      <c r="F297" s="30"/>
      <c r="G297" s="30"/>
      <c r="H297" s="30"/>
      <c r="I297" s="30"/>
      <c r="J297" s="30"/>
      <c r="K297" s="30"/>
      <c r="L297" s="30"/>
      <c r="M297" s="30"/>
      <c r="N297" s="30"/>
    </row>
    <row r="298" spans="1:14" ht="12.75">
      <c r="A298" s="30"/>
      <c r="B298" s="30"/>
      <c r="C298" s="30"/>
      <c r="D298" s="30"/>
      <c r="E298" s="30"/>
      <c r="F298" s="30"/>
      <c r="G298" s="30"/>
      <c r="H298" s="30"/>
      <c r="I298" s="30"/>
      <c r="J298" s="30"/>
      <c r="K298" s="30"/>
      <c r="L298" s="30"/>
      <c r="M298" s="30"/>
      <c r="N298" s="30"/>
    </row>
    <row r="299" spans="1:14" ht="12.75">
      <c r="A299" s="30"/>
      <c r="B299" s="30"/>
      <c r="C299" s="30"/>
      <c r="D299" s="30"/>
      <c r="E299" s="30"/>
      <c r="F299" s="30"/>
      <c r="G299" s="30"/>
      <c r="H299" s="30"/>
      <c r="I299" s="30"/>
      <c r="J299" s="30"/>
      <c r="K299" s="30"/>
      <c r="L299" s="30"/>
      <c r="M299" s="30"/>
      <c r="N299" s="30"/>
    </row>
    <row r="300" spans="1:14" ht="12.75">
      <c r="A300" s="30"/>
      <c r="B300" s="30"/>
      <c r="C300" s="30"/>
      <c r="D300" s="30"/>
      <c r="E300" s="30"/>
      <c r="F300" s="30"/>
      <c r="G300" s="30"/>
      <c r="H300" s="30"/>
      <c r="I300" s="30"/>
      <c r="J300" s="30"/>
      <c r="K300" s="30"/>
      <c r="L300" s="30"/>
      <c r="M300" s="30"/>
      <c r="N300" s="30"/>
    </row>
    <row r="301" spans="1:14" ht="12.75">
      <c r="A301" s="30"/>
      <c r="B301" s="30"/>
      <c r="C301" s="30"/>
      <c r="D301" s="30"/>
      <c r="E301" s="30"/>
      <c r="F301" s="30"/>
      <c r="G301" s="30"/>
      <c r="H301" s="30"/>
      <c r="I301" s="30"/>
      <c r="J301" s="30"/>
      <c r="K301" s="30"/>
      <c r="L301" s="30"/>
      <c r="M301" s="30"/>
      <c r="N301" s="30"/>
    </row>
    <row r="302" spans="1:14" ht="12.75">
      <c r="A302" s="30"/>
      <c r="B302" s="30"/>
      <c r="C302" s="30"/>
      <c r="D302" s="30"/>
      <c r="E302" s="30"/>
      <c r="F302" s="30"/>
      <c r="G302" s="30"/>
      <c r="H302" s="30"/>
      <c r="I302" s="30"/>
      <c r="J302" s="30"/>
      <c r="K302" s="30"/>
      <c r="L302" s="30"/>
      <c r="M302" s="30"/>
      <c r="N302" s="30"/>
    </row>
    <row r="303" spans="1:14" ht="12.75">
      <c r="A303" s="30"/>
      <c r="B303" s="30"/>
      <c r="C303" s="30"/>
      <c r="D303" s="30"/>
      <c r="E303" s="30"/>
      <c r="F303" s="30"/>
      <c r="G303" s="30"/>
      <c r="H303" s="30"/>
      <c r="I303" s="30"/>
      <c r="J303" s="30"/>
      <c r="K303" s="30"/>
      <c r="L303" s="30"/>
      <c r="M303" s="30"/>
      <c r="N303" s="30"/>
    </row>
    <row r="304" spans="1:14" ht="12.75">
      <c r="A304" s="30"/>
      <c r="B304" s="30"/>
      <c r="C304" s="30"/>
      <c r="D304" s="30"/>
      <c r="E304" s="30"/>
      <c r="F304" s="30"/>
      <c r="G304" s="30"/>
      <c r="H304" s="30"/>
      <c r="I304" s="30"/>
      <c r="J304" s="30"/>
      <c r="K304" s="30"/>
      <c r="L304" s="30"/>
      <c r="M304" s="30"/>
      <c r="N304" s="30"/>
    </row>
    <row r="305" spans="1:14" ht="12.75">
      <c r="A305" s="30"/>
      <c r="B305" s="30"/>
      <c r="C305" s="30"/>
      <c r="D305" s="30"/>
      <c r="E305" s="30"/>
      <c r="F305" s="30"/>
      <c r="G305" s="30"/>
      <c r="H305" s="30"/>
      <c r="I305" s="30"/>
      <c r="J305" s="30"/>
      <c r="K305" s="30"/>
      <c r="L305" s="30"/>
      <c r="M305" s="30"/>
      <c r="N305" s="30"/>
    </row>
    <row r="306" spans="1:14" ht="12.75">
      <c r="A306" s="30"/>
      <c r="B306" s="30"/>
      <c r="C306" s="30"/>
      <c r="D306" s="30"/>
      <c r="E306" s="30"/>
      <c r="F306" s="30"/>
      <c r="G306" s="30"/>
      <c r="H306" s="30"/>
      <c r="I306" s="30"/>
      <c r="J306" s="30"/>
      <c r="K306" s="30"/>
      <c r="L306" s="30"/>
      <c r="M306" s="30"/>
      <c r="N306" s="30"/>
    </row>
    <row r="307" spans="1:14" ht="12.75">
      <c r="A307" s="30"/>
      <c r="B307" s="30"/>
      <c r="C307" s="30"/>
      <c r="D307" s="30"/>
      <c r="E307" s="30"/>
      <c r="F307" s="30"/>
      <c r="G307" s="30"/>
      <c r="H307" s="30"/>
      <c r="I307" s="30"/>
      <c r="J307" s="30"/>
      <c r="K307" s="30"/>
      <c r="L307" s="30"/>
      <c r="M307" s="30"/>
      <c r="N307" s="30"/>
    </row>
    <row r="308" spans="1:14" ht="12.75">
      <c r="A308" s="30"/>
      <c r="B308" s="30"/>
      <c r="C308" s="30"/>
      <c r="D308" s="30"/>
      <c r="E308" s="30"/>
      <c r="F308" s="30"/>
      <c r="G308" s="30"/>
      <c r="H308" s="30"/>
      <c r="I308" s="30"/>
      <c r="J308" s="30"/>
      <c r="K308" s="30"/>
      <c r="L308" s="30"/>
      <c r="M308" s="30"/>
      <c r="N308" s="30"/>
    </row>
    <row r="309" spans="1:14" ht="12.75">
      <c r="A309" s="30"/>
      <c r="B309" s="30"/>
      <c r="C309" s="30"/>
      <c r="D309" s="30"/>
      <c r="E309" s="30"/>
      <c r="F309" s="30"/>
      <c r="G309" s="30"/>
      <c r="H309" s="30"/>
      <c r="I309" s="30"/>
      <c r="J309" s="30"/>
      <c r="K309" s="30"/>
      <c r="L309" s="30"/>
      <c r="M309" s="30"/>
      <c r="N309" s="30"/>
    </row>
    <row r="310" spans="1:14" ht="12.75">
      <c r="A310" s="30"/>
      <c r="B310" s="30"/>
      <c r="C310" s="30"/>
      <c r="D310" s="30"/>
      <c r="E310" s="30"/>
      <c r="F310" s="30"/>
      <c r="G310" s="30"/>
      <c r="H310" s="30"/>
      <c r="I310" s="30"/>
      <c r="J310" s="30"/>
      <c r="K310" s="30"/>
      <c r="L310" s="30"/>
      <c r="M310" s="30"/>
      <c r="N310" s="30"/>
    </row>
    <row r="311" spans="1:14" ht="12.75">
      <c r="A311" s="30"/>
      <c r="B311" s="30"/>
      <c r="C311" s="30"/>
      <c r="D311" s="30"/>
      <c r="E311" s="30"/>
      <c r="F311" s="30"/>
      <c r="G311" s="30"/>
      <c r="H311" s="30"/>
      <c r="I311" s="30"/>
      <c r="J311" s="30"/>
      <c r="K311" s="30"/>
      <c r="L311" s="30"/>
      <c r="M311" s="30"/>
      <c r="N311" s="30"/>
    </row>
    <row r="312" spans="1:14" ht="12.75">
      <c r="A312" s="30"/>
      <c r="B312" s="30"/>
      <c r="C312" s="30"/>
      <c r="D312" s="30"/>
      <c r="E312" s="30"/>
      <c r="F312" s="30"/>
      <c r="G312" s="30"/>
      <c r="H312" s="30"/>
      <c r="I312" s="30"/>
      <c r="J312" s="30"/>
      <c r="K312" s="30"/>
      <c r="L312" s="30"/>
      <c r="M312" s="30"/>
      <c r="N312" s="30"/>
    </row>
    <row r="313" spans="1:14" ht="12.75">
      <c r="A313" s="30"/>
      <c r="B313" s="30"/>
      <c r="C313" s="30"/>
      <c r="D313" s="30"/>
      <c r="E313" s="30"/>
      <c r="F313" s="30"/>
      <c r="G313" s="30"/>
      <c r="H313" s="30"/>
      <c r="I313" s="30"/>
      <c r="J313" s="30"/>
      <c r="K313" s="30"/>
      <c r="L313" s="30"/>
      <c r="M313" s="30"/>
      <c r="N313" s="30"/>
    </row>
    <row r="314" spans="1:14" ht="12.75">
      <c r="A314" s="30"/>
      <c r="B314" s="30"/>
      <c r="C314" s="30"/>
      <c r="D314" s="30"/>
      <c r="E314" s="30"/>
      <c r="F314" s="30"/>
      <c r="G314" s="30"/>
      <c r="H314" s="30"/>
      <c r="I314" s="30"/>
      <c r="J314" s="30"/>
      <c r="K314" s="30"/>
      <c r="L314" s="30"/>
      <c r="M314" s="30"/>
      <c r="N314" s="30"/>
    </row>
    <row r="315" spans="1:14" ht="12.75">
      <c r="A315" s="30"/>
      <c r="B315" s="30"/>
      <c r="C315" s="30"/>
      <c r="D315" s="30"/>
      <c r="E315" s="30"/>
      <c r="F315" s="30"/>
      <c r="G315" s="30"/>
      <c r="H315" s="30"/>
      <c r="I315" s="30"/>
      <c r="J315" s="30"/>
      <c r="K315" s="30"/>
      <c r="L315" s="30"/>
      <c r="M315" s="30"/>
      <c r="N315" s="30"/>
    </row>
    <row r="316" spans="1:14" ht="12.75">
      <c r="A316" s="30"/>
      <c r="B316" s="30"/>
      <c r="C316" s="30"/>
      <c r="D316" s="30"/>
      <c r="E316" s="30"/>
      <c r="F316" s="30"/>
      <c r="G316" s="30"/>
      <c r="H316" s="30"/>
      <c r="I316" s="30"/>
      <c r="J316" s="30"/>
      <c r="K316" s="30"/>
      <c r="L316" s="30"/>
      <c r="M316" s="30"/>
      <c r="N316" s="30"/>
    </row>
    <row r="317" spans="1:14" ht="12.75">
      <c r="A317" s="30"/>
      <c r="B317" s="30"/>
      <c r="C317" s="30"/>
      <c r="D317" s="30"/>
      <c r="E317" s="30"/>
      <c r="F317" s="30"/>
      <c r="G317" s="30"/>
      <c r="H317" s="30"/>
      <c r="I317" s="30"/>
      <c r="J317" s="30"/>
      <c r="K317" s="30"/>
      <c r="L317" s="30"/>
      <c r="M317" s="30"/>
      <c r="N317" s="30"/>
    </row>
    <row r="318" spans="1:14" ht="12.75">
      <c r="A318" s="30"/>
      <c r="B318" s="30"/>
      <c r="C318" s="30"/>
      <c r="D318" s="30"/>
      <c r="E318" s="30"/>
      <c r="F318" s="30"/>
      <c r="G318" s="30"/>
      <c r="H318" s="30"/>
      <c r="I318" s="30"/>
      <c r="J318" s="30"/>
      <c r="K318" s="30"/>
      <c r="L318" s="30"/>
      <c r="M318" s="30"/>
      <c r="N318" s="30"/>
    </row>
    <row r="319" spans="1:14" ht="12.75">
      <c r="A319" s="30"/>
      <c r="B319" s="30"/>
      <c r="C319" s="30"/>
      <c r="D319" s="30"/>
      <c r="E319" s="30"/>
      <c r="F319" s="30"/>
      <c r="G319" s="30"/>
      <c r="H319" s="30"/>
      <c r="I319" s="30"/>
      <c r="J319" s="30"/>
      <c r="K319" s="30"/>
      <c r="L319" s="30"/>
      <c r="M319" s="30"/>
      <c r="N319" s="30"/>
    </row>
    <row r="320" spans="1:14" ht="12.75">
      <c r="A320" s="30"/>
      <c r="B320" s="30"/>
      <c r="C320" s="30"/>
      <c r="D320" s="30"/>
      <c r="E320" s="30"/>
      <c r="F320" s="30"/>
      <c r="G320" s="30"/>
      <c r="H320" s="30"/>
      <c r="I320" s="30"/>
      <c r="J320" s="30"/>
      <c r="K320" s="30"/>
      <c r="L320" s="30"/>
      <c r="M320" s="30"/>
      <c r="N320" s="30"/>
    </row>
    <row r="321" spans="1:14" ht="12.75">
      <c r="A321" s="30"/>
      <c r="B321" s="30"/>
      <c r="C321" s="30"/>
      <c r="D321" s="30"/>
      <c r="E321" s="30"/>
      <c r="F321" s="30"/>
      <c r="G321" s="30"/>
      <c r="H321" s="30"/>
      <c r="I321" s="30"/>
      <c r="J321" s="30"/>
      <c r="K321" s="30"/>
      <c r="L321" s="30"/>
      <c r="M321" s="30"/>
      <c r="N321" s="30"/>
    </row>
    <row r="322" spans="1:14" ht="12.75">
      <c r="A322" s="30"/>
      <c r="B322" s="30"/>
      <c r="C322" s="30"/>
      <c r="D322" s="30"/>
      <c r="E322" s="30"/>
      <c r="F322" s="30"/>
      <c r="G322" s="30"/>
      <c r="H322" s="30"/>
      <c r="I322" s="30"/>
      <c r="J322" s="30"/>
      <c r="K322" s="30"/>
      <c r="L322" s="30"/>
      <c r="M322" s="30"/>
      <c r="N322" s="30"/>
    </row>
    <row r="323" spans="1:14" ht="12.75">
      <c r="A323" s="30"/>
      <c r="B323" s="30"/>
      <c r="C323" s="30"/>
      <c r="D323" s="30"/>
      <c r="E323" s="30"/>
      <c r="F323" s="30"/>
      <c r="G323" s="30"/>
      <c r="H323" s="30"/>
      <c r="I323" s="30"/>
      <c r="J323" s="30"/>
      <c r="K323" s="30"/>
      <c r="L323" s="30"/>
      <c r="M323" s="30"/>
      <c r="N323" s="30"/>
    </row>
    <row r="324" spans="1:14" ht="12.75">
      <c r="A324" s="30"/>
      <c r="B324" s="30"/>
      <c r="C324" s="30"/>
      <c r="D324" s="30"/>
      <c r="E324" s="30"/>
      <c r="F324" s="30"/>
      <c r="G324" s="30"/>
      <c r="H324" s="30"/>
      <c r="I324" s="30"/>
      <c r="J324" s="30"/>
      <c r="K324" s="30"/>
      <c r="L324" s="30"/>
      <c r="M324" s="30"/>
      <c r="N324" s="30"/>
    </row>
    <row r="325" spans="1:14" ht="12.75">
      <c r="A325" s="30"/>
      <c r="B325" s="30"/>
      <c r="C325" s="30"/>
      <c r="D325" s="30"/>
      <c r="E325" s="30"/>
      <c r="F325" s="30"/>
      <c r="G325" s="30"/>
      <c r="H325" s="30"/>
      <c r="I325" s="30"/>
      <c r="J325" s="30"/>
      <c r="K325" s="30"/>
      <c r="L325" s="30"/>
      <c r="M325" s="30"/>
      <c r="N325" s="30"/>
    </row>
    <row r="326" spans="1:14" ht="12.75">
      <c r="A326" s="30"/>
      <c r="B326" s="30"/>
      <c r="C326" s="30"/>
      <c r="D326" s="30"/>
      <c r="E326" s="30"/>
      <c r="F326" s="30"/>
      <c r="G326" s="30"/>
      <c r="H326" s="30"/>
      <c r="I326" s="30"/>
      <c r="J326" s="30"/>
      <c r="K326" s="30"/>
      <c r="L326" s="30"/>
      <c r="M326" s="30"/>
      <c r="N326" s="30"/>
    </row>
    <row r="327" spans="1:14" ht="12.75">
      <c r="A327" s="30"/>
      <c r="B327" s="30"/>
      <c r="C327" s="30"/>
      <c r="D327" s="30"/>
      <c r="E327" s="30"/>
      <c r="F327" s="30"/>
      <c r="G327" s="30"/>
      <c r="H327" s="30"/>
      <c r="I327" s="30"/>
      <c r="J327" s="30"/>
      <c r="K327" s="30"/>
      <c r="L327" s="30"/>
      <c r="M327" s="30"/>
      <c r="N327" s="30"/>
    </row>
    <row r="328" spans="1:14" ht="12.75">
      <c r="A328" s="30"/>
      <c r="B328" s="30"/>
      <c r="C328" s="30"/>
      <c r="D328" s="30"/>
      <c r="E328" s="30"/>
      <c r="F328" s="30"/>
      <c r="G328" s="30"/>
      <c r="H328" s="30"/>
      <c r="I328" s="30"/>
      <c r="J328" s="30"/>
      <c r="K328" s="30"/>
      <c r="L328" s="30"/>
      <c r="M328" s="30"/>
      <c r="N328" s="30"/>
    </row>
    <row r="329" spans="1:14" ht="12.75">
      <c r="A329" s="30"/>
      <c r="B329" s="30"/>
      <c r="C329" s="30"/>
      <c r="D329" s="30"/>
      <c r="E329" s="30"/>
      <c r="F329" s="30"/>
      <c r="G329" s="30"/>
      <c r="H329" s="30"/>
      <c r="I329" s="30"/>
      <c r="J329" s="30"/>
      <c r="K329" s="30"/>
      <c r="L329" s="30"/>
      <c r="M329" s="30"/>
      <c r="N329" s="30"/>
    </row>
    <row r="330" spans="1:14" ht="12.75">
      <c r="A330" s="30"/>
      <c r="B330" s="30"/>
      <c r="C330" s="30"/>
      <c r="D330" s="30"/>
      <c r="E330" s="30"/>
      <c r="F330" s="30"/>
      <c r="G330" s="30"/>
      <c r="H330" s="30"/>
      <c r="I330" s="30"/>
      <c r="J330" s="30"/>
      <c r="K330" s="30"/>
      <c r="L330" s="30"/>
      <c r="M330" s="30"/>
      <c r="N330" s="30"/>
    </row>
    <row r="331" spans="1:14" ht="12.75">
      <c r="A331" s="30"/>
      <c r="B331" s="30"/>
      <c r="C331" s="30"/>
      <c r="D331" s="30"/>
      <c r="E331" s="30"/>
      <c r="F331" s="30"/>
      <c r="G331" s="30"/>
      <c r="H331" s="30"/>
      <c r="I331" s="30"/>
      <c r="J331" s="30"/>
      <c r="K331" s="30"/>
      <c r="L331" s="30"/>
      <c r="M331" s="30"/>
      <c r="N331" s="30"/>
    </row>
    <row r="332" spans="1:14" ht="12.75">
      <c r="A332" s="30"/>
      <c r="B332" s="30"/>
      <c r="C332" s="30"/>
      <c r="D332" s="30"/>
      <c r="E332" s="30"/>
      <c r="F332" s="30"/>
      <c r="G332" s="30"/>
      <c r="H332" s="30"/>
      <c r="I332" s="30"/>
      <c r="J332" s="30"/>
      <c r="K332" s="30"/>
      <c r="L332" s="30"/>
      <c r="M332" s="30"/>
      <c r="N332" s="30"/>
    </row>
    <row r="333" spans="1:14" ht="12.75">
      <c r="A333" s="30"/>
      <c r="B333" s="30"/>
      <c r="C333" s="30"/>
      <c r="D333" s="30"/>
      <c r="E333" s="30"/>
      <c r="F333" s="30"/>
      <c r="G333" s="30"/>
      <c r="H333" s="30"/>
      <c r="I333" s="30"/>
      <c r="J333" s="30"/>
      <c r="K333" s="30"/>
      <c r="L333" s="30"/>
      <c r="M333" s="30"/>
      <c r="N333" s="30"/>
    </row>
    <row r="334" spans="1:14" ht="12.75">
      <c r="A334" s="30"/>
      <c r="B334" s="30"/>
      <c r="C334" s="30"/>
      <c r="D334" s="30"/>
      <c r="E334" s="30"/>
      <c r="F334" s="30"/>
      <c r="G334" s="30"/>
      <c r="H334" s="30"/>
      <c r="I334" s="30"/>
      <c r="J334" s="30"/>
      <c r="K334" s="30"/>
      <c r="L334" s="30"/>
      <c r="M334" s="30"/>
      <c r="N334" s="30"/>
    </row>
    <row r="335" spans="1:14" ht="12.75">
      <c r="A335" s="30"/>
      <c r="B335" s="30"/>
      <c r="C335" s="30"/>
      <c r="D335" s="30"/>
      <c r="E335" s="30"/>
      <c r="F335" s="30"/>
      <c r="G335" s="30"/>
      <c r="H335" s="30"/>
      <c r="I335" s="30"/>
      <c r="J335" s="30"/>
      <c r="K335" s="30"/>
      <c r="L335" s="30"/>
      <c r="M335" s="30"/>
      <c r="N335" s="30"/>
    </row>
    <row r="336" spans="1:14" ht="12.75">
      <c r="A336" s="30"/>
      <c r="B336" s="30"/>
      <c r="C336" s="30"/>
      <c r="D336" s="30"/>
      <c r="E336" s="30"/>
      <c r="F336" s="30"/>
      <c r="G336" s="30"/>
      <c r="H336" s="30"/>
      <c r="I336" s="30"/>
      <c r="J336" s="30"/>
      <c r="K336" s="30"/>
      <c r="L336" s="30"/>
      <c r="M336" s="30"/>
      <c r="N336" s="30"/>
    </row>
    <row r="337" spans="1:14" ht="12.75">
      <c r="A337" s="30"/>
      <c r="B337" s="30"/>
      <c r="C337" s="30"/>
      <c r="D337" s="30"/>
      <c r="E337" s="30"/>
      <c r="F337" s="30"/>
      <c r="G337" s="30"/>
      <c r="H337" s="30"/>
      <c r="I337" s="30"/>
      <c r="J337" s="30"/>
      <c r="K337" s="30"/>
      <c r="L337" s="30"/>
      <c r="M337" s="30"/>
      <c r="N337" s="30"/>
    </row>
    <row r="338" spans="1:14" ht="12.75">
      <c r="A338" s="30"/>
      <c r="B338" s="30"/>
      <c r="C338" s="30"/>
      <c r="D338" s="30"/>
      <c r="E338" s="30"/>
      <c r="F338" s="30"/>
      <c r="G338" s="30"/>
      <c r="H338" s="30"/>
      <c r="I338" s="30"/>
      <c r="J338" s="30"/>
      <c r="K338" s="30"/>
      <c r="L338" s="30"/>
      <c r="M338" s="30"/>
      <c r="N338" s="30"/>
    </row>
    <row r="339" spans="1:14" ht="12.75">
      <c r="A339" s="30"/>
      <c r="B339" s="30"/>
      <c r="C339" s="30"/>
      <c r="D339" s="30"/>
      <c r="E339" s="30"/>
      <c r="F339" s="30"/>
      <c r="G339" s="30"/>
      <c r="H339" s="30"/>
      <c r="I339" s="30"/>
      <c r="J339" s="30"/>
      <c r="K339" s="30"/>
      <c r="L339" s="30"/>
      <c r="M339" s="30"/>
      <c r="N339" s="30"/>
    </row>
    <row r="340" spans="1:14" ht="12.75">
      <c r="A340" s="30"/>
      <c r="B340" s="30"/>
      <c r="C340" s="30"/>
      <c r="D340" s="30"/>
      <c r="E340" s="30"/>
      <c r="F340" s="30"/>
      <c r="G340" s="30"/>
      <c r="H340" s="30"/>
      <c r="I340" s="30"/>
      <c r="J340" s="30"/>
      <c r="K340" s="30"/>
      <c r="L340" s="30"/>
      <c r="M340" s="30"/>
      <c r="N340" s="30"/>
    </row>
    <row r="341" spans="1:14" ht="12.75">
      <c r="A341" s="30"/>
      <c r="B341" s="30"/>
      <c r="C341" s="30"/>
      <c r="D341" s="30"/>
      <c r="E341" s="30"/>
      <c r="F341" s="30"/>
      <c r="G341" s="30"/>
      <c r="H341" s="30"/>
      <c r="I341" s="30"/>
      <c r="J341" s="30"/>
      <c r="K341" s="30"/>
      <c r="L341" s="30"/>
      <c r="M341" s="30"/>
      <c r="N341" s="30"/>
    </row>
    <row r="342" spans="1:14" ht="12.75">
      <c r="A342" s="30"/>
      <c r="B342" s="30"/>
      <c r="C342" s="30"/>
      <c r="D342" s="30"/>
      <c r="E342" s="30"/>
      <c r="F342" s="30"/>
      <c r="G342" s="30"/>
      <c r="H342" s="30"/>
      <c r="I342" s="30"/>
      <c r="J342" s="30"/>
      <c r="K342" s="30"/>
      <c r="L342" s="30"/>
      <c r="M342" s="30"/>
      <c r="N342" s="30"/>
    </row>
    <row r="343" spans="1:14" ht="12.75">
      <c r="A343" s="30"/>
      <c r="B343" s="30"/>
      <c r="C343" s="30"/>
      <c r="D343" s="30"/>
      <c r="E343" s="30"/>
      <c r="F343" s="30"/>
      <c r="G343" s="30"/>
      <c r="H343" s="30"/>
      <c r="I343" s="30"/>
      <c r="J343" s="30"/>
      <c r="K343" s="30"/>
      <c r="L343" s="30"/>
      <c r="M343" s="30"/>
      <c r="N343" s="30"/>
    </row>
    <row r="344" spans="1:14" ht="12.75">
      <c r="A344" s="30"/>
      <c r="B344" s="30"/>
      <c r="C344" s="30"/>
      <c r="D344" s="30"/>
      <c r="E344" s="30"/>
      <c r="F344" s="30"/>
      <c r="G344" s="30"/>
      <c r="H344" s="30"/>
      <c r="I344" s="30"/>
      <c r="J344" s="30"/>
      <c r="K344" s="30"/>
      <c r="L344" s="30"/>
      <c r="M344" s="30"/>
      <c r="N344" s="30"/>
    </row>
    <row r="345" spans="1:14" ht="12.75">
      <c r="A345" s="30"/>
      <c r="B345" s="30"/>
      <c r="C345" s="30"/>
      <c r="D345" s="30"/>
      <c r="E345" s="30"/>
      <c r="F345" s="30"/>
      <c r="G345" s="30"/>
      <c r="H345" s="30"/>
      <c r="I345" s="30"/>
      <c r="J345" s="30"/>
      <c r="K345" s="30"/>
      <c r="L345" s="30"/>
      <c r="M345" s="30"/>
      <c r="N345" s="30"/>
    </row>
    <row r="346" spans="1:14" ht="12.75">
      <c r="A346" s="30"/>
      <c r="B346" s="30"/>
      <c r="C346" s="30"/>
      <c r="D346" s="30"/>
      <c r="E346" s="30"/>
      <c r="F346" s="30"/>
      <c r="G346" s="30"/>
      <c r="H346" s="30"/>
      <c r="I346" s="30"/>
      <c r="J346" s="30"/>
      <c r="K346" s="30"/>
      <c r="L346" s="30"/>
      <c r="M346" s="30"/>
      <c r="N346" s="30"/>
    </row>
    <row r="347" spans="1:14" ht="12.75">
      <c r="A347" s="30"/>
      <c r="B347" s="30"/>
      <c r="C347" s="30"/>
      <c r="D347" s="30"/>
      <c r="E347" s="30"/>
      <c r="F347" s="30"/>
      <c r="G347" s="30"/>
      <c r="H347" s="30"/>
      <c r="I347" s="30"/>
      <c r="J347" s="30"/>
      <c r="K347" s="30"/>
      <c r="L347" s="30"/>
      <c r="M347" s="30"/>
      <c r="N347" s="30"/>
    </row>
    <row r="348" spans="1:14" ht="12.75">
      <c r="A348" s="30"/>
      <c r="B348" s="30"/>
      <c r="C348" s="30"/>
      <c r="D348" s="30"/>
      <c r="E348" s="30"/>
      <c r="F348" s="30"/>
      <c r="G348" s="30"/>
      <c r="H348" s="30"/>
      <c r="I348" s="30"/>
      <c r="J348" s="30"/>
      <c r="K348" s="30"/>
      <c r="L348" s="30"/>
      <c r="M348" s="30"/>
      <c r="N348" s="30"/>
    </row>
    <row r="349" spans="1:14" ht="12.75">
      <c r="A349" s="30"/>
      <c r="B349" s="30"/>
      <c r="C349" s="30"/>
      <c r="D349" s="30"/>
      <c r="E349" s="30"/>
      <c r="F349" s="30"/>
      <c r="G349" s="30"/>
      <c r="H349" s="30"/>
      <c r="I349" s="30"/>
      <c r="J349" s="30"/>
      <c r="K349" s="30"/>
      <c r="L349" s="30"/>
      <c r="M349" s="30"/>
      <c r="N349" s="30"/>
    </row>
    <row r="350" spans="1:14" ht="12.75">
      <c r="A350" s="30"/>
      <c r="B350" s="30"/>
      <c r="C350" s="30"/>
      <c r="D350" s="30"/>
      <c r="E350" s="30"/>
      <c r="F350" s="30"/>
      <c r="G350" s="30"/>
      <c r="H350" s="30"/>
      <c r="I350" s="30"/>
      <c r="J350" s="30"/>
      <c r="K350" s="30"/>
      <c r="L350" s="30"/>
      <c r="M350" s="30"/>
      <c r="N350" s="30"/>
    </row>
    <row r="351" spans="1:14" ht="12.75">
      <c r="A351" s="30"/>
      <c r="B351" s="30"/>
      <c r="C351" s="30"/>
      <c r="D351" s="30"/>
      <c r="E351" s="30"/>
      <c r="F351" s="30"/>
      <c r="G351" s="30"/>
      <c r="H351" s="30"/>
      <c r="I351" s="30"/>
      <c r="J351" s="30"/>
      <c r="K351" s="30"/>
      <c r="L351" s="30"/>
      <c r="M351" s="30"/>
      <c r="N351" s="30"/>
    </row>
    <row r="352" spans="1:14" ht="12.75">
      <c r="A352" s="30"/>
      <c r="B352" s="30"/>
      <c r="C352" s="30"/>
      <c r="D352" s="30"/>
      <c r="E352" s="30"/>
      <c r="F352" s="30"/>
      <c r="G352" s="30"/>
      <c r="H352" s="30"/>
      <c r="I352" s="30"/>
      <c r="J352" s="30"/>
      <c r="K352" s="30"/>
      <c r="L352" s="30"/>
      <c r="M352" s="30"/>
      <c r="N352" s="30"/>
    </row>
    <row r="353" spans="1:14" ht="12.75">
      <c r="A353" s="30"/>
      <c r="B353" s="30"/>
      <c r="C353" s="30"/>
      <c r="D353" s="30"/>
      <c r="E353" s="30"/>
      <c r="F353" s="30"/>
      <c r="G353" s="30"/>
      <c r="H353" s="30"/>
      <c r="I353" s="30"/>
      <c r="J353" s="30"/>
      <c r="K353" s="30"/>
      <c r="L353" s="30"/>
      <c r="M353" s="30"/>
      <c r="N353" s="30"/>
    </row>
    <row r="354" spans="1:14" ht="12.75">
      <c r="A354" s="30"/>
      <c r="B354" s="30"/>
      <c r="C354" s="30"/>
      <c r="D354" s="30"/>
      <c r="E354" s="30"/>
      <c r="F354" s="30"/>
      <c r="G354" s="30"/>
      <c r="H354" s="30"/>
      <c r="I354" s="30"/>
      <c r="J354" s="30"/>
      <c r="K354" s="30"/>
      <c r="L354" s="30"/>
      <c r="M354" s="30"/>
      <c r="N354" s="30"/>
    </row>
    <row r="355" spans="1:14" ht="12.75">
      <c r="A355" s="30"/>
      <c r="B355" s="30"/>
      <c r="C355" s="30"/>
      <c r="D355" s="30"/>
      <c r="E355" s="30"/>
      <c r="F355" s="30"/>
      <c r="G355" s="30"/>
      <c r="H355" s="30"/>
      <c r="I355" s="30"/>
      <c r="J355" s="30"/>
      <c r="K355" s="30"/>
      <c r="L355" s="30"/>
      <c r="M355" s="30"/>
      <c r="N355" s="30"/>
    </row>
    <row r="356" spans="1:14" ht="12.75">
      <c r="A356" s="30"/>
      <c r="B356" s="30"/>
      <c r="C356" s="30"/>
      <c r="D356" s="30"/>
      <c r="E356" s="30"/>
      <c r="F356" s="30"/>
      <c r="G356" s="30"/>
      <c r="H356" s="30"/>
      <c r="I356" s="30"/>
      <c r="J356" s="30"/>
      <c r="K356" s="30"/>
      <c r="L356" s="30"/>
      <c r="M356" s="30"/>
      <c r="N356" s="30"/>
    </row>
    <row r="357" spans="1:14" ht="12.75">
      <c r="A357" s="30"/>
      <c r="B357" s="30"/>
      <c r="C357" s="30"/>
      <c r="D357" s="30"/>
      <c r="E357" s="30"/>
      <c r="F357" s="30"/>
      <c r="G357" s="30"/>
      <c r="H357" s="30"/>
      <c r="I357" s="30"/>
      <c r="J357" s="30"/>
      <c r="K357" s="30"/>
      <c r="L357" s="30"/>
      <c r="M357" s="30"/>
      <c r="N357" s="30"/>
    </row>
    <row r="358" spans="1:14" ht="12.75">
      <c r="A358" s="30"/>
      <c r="B358" s="30"/>
      <c r="C358" s="30"/>
      <c r="D358" s="30"/>
      <c r="E358" s="30"/>
      <c r="F358" s="30"/>
      <c r="G358" s="30"/>
      <c r="H358" s="30"/>
      <c r="I358" s="30"/>
      <c r="J358" s="30"/>
      <c r="K358" s="30"/>
      <c r="L358" s="30"/>
      <c r="M358" s="30"/>
      <c r="N358" s="30"/>
    </row>
    <row r="359" spans="1:14" ht="12.75">
      <c r="A359" s="30"/>
      <c r="B359" s="30"/>
      <c r="C359" s="30"/>
      <c r="D359" s="30"/>
      <c r="E359" s="30"/>
      <c r="F359" s="30"/>
      <c r="G359" s="30"/>
      <c r="H359" s="30"/>
      <c r="I359" s="30"/>
      <c r="J359" s="30"/>
      <c r="K359" s="30"/>
      <c r="L359" s="30"/>
      <c r="M359" s="30"/>
      <c r="N359" s="30"/>
    </row>
    <row r="360" spans="1:14" ht="12.75">
      <c r="A360" s="30"/>
      <c r="B360" s="30"/>
      <c r="C360" s="30"/>
      <c r="D360" s="30"/>
      <c r="E360" s="30"/>
      <c r="F360" s="30"/>
      <c r="G360" s="30"/>
      <c r="H360" s="30"/>
      <c r="I360" s="30"/>
      <c r="J360" s="30"/>
      <c r="K360" s="30"/>
      <c r="L360" s="30"/>
      <c r="M360" s="30"/>
      <c r="N360" s="30"/>
    </row>
    <row r="361" spans="1:14" ht="12.75">
      <c r="A361" s="30"/>
      <c r="B361" s="30"/>
      <c r="C361" s="30"/>
      <c r="D361" s="30"/>
      <c r="E361" s="30"/>
      <c r="F361" s="30"/>
      <c r="G361" s="30"/>
      <c r="H361" s="30"/>
      <c r="I361" s="30"/>
      <c r="J361" s="30"/>
      <c r="K361" s="30"/>
      <c r="L361" s="30"/>
      <c r="M361" s="30"/>
      <c r="N361" s="30"/>
    </row>
    <row r="362" spans="1:14" ht="12.75">
      <c r="A362" s="30"/>
      <c r="B362" s="30"/>
      <c r="C362" s="30"/>
      <c r="D362" s="30"/>
      <c r="E362" s="30"/>
      <c r="F362" s="30"/>
      <c r="G362" s="30"/>
      <c r="H362" s="30"/>
      <c r="I362" s="30"/>
      <c r="J362" s="30"/>
      <c r="K362" s="30"/>
      <c r="L362" s="30"/>
      <c r="M362" s="30"/>
      <c r="N362" s="30"/>
    </row>
    <row r="363" spans="1:14" ht="12.75">
      <c r="A363" s="30"/>
      <c r="B363" s="30"/>
      <c r="C363" s="30"/>
      <c r="D363" s="30"/>
      <c r="E363" s="30"/>
      <c r="F363" s="30"/>
      <c r="G363" s="30"/>
      <c r="H363" s="30"/>
      <c r="I363" s="30"/>
      <c r="J363" s="30"/>
      <c r="K363" s="30"/>
      <c r="L363" s="30"/>
      <c r="M363" s="30"/>
      <c r="N363" s="30"/>
    </row>
    <row r="364" spans="1:14" ht="12.75">
      <c r="A364" s="30"/>
      <c r="B364" s="30"/>
      <c r="C364" s="30"/>
      <c r="D364" s="30"/>
      <c r="E364" s="30"/>
      <c r="F364" s="30"/>
      <c r="G364" s="30"/>
      <c r="H364" s="30"/>
      <c r="I364" s="30"/>
      <c r="J364" s="30"/>
      <c r="K364" s="30"/>
      <c r="L364" s="30"/>
      <c r="M364" s="30"/>
      <c r="N364" s="30"/>
    </row>
    <row r="365" spans="1:14" ht="12.75">
      <c r="A365" s="30"/>
      <c r="B365" s="30"/>
      <c r="C365" s="30"/>
      <c r="D365" s="30"/>
      <c r="E365" s="30"/>
      <c r="F365" s="30"/>
      <c r="G365" s="30"/>
      <c r="H365" s="30"/>
      <c r="I365" s="30"/>
      <c r="J365" s="30"/>
      <c r="K365" s="30"/>
      <c r="L365" s="30"/>
      <c r="M365" s="30"/>
      <c r="N365" s="30"/>
    </row>
    <row r="366" spans="1:14" ht="12.75">
      <c r="A366" s="30"/>
      <c r="B366" s="30"/>
      <c r="C366" s="30"/>
      <c r="D366" s="30"/>
      <c r="E366" s="30"/>
      <c r="F366" s="30"/>
      <c r="G366" s="30"/>
      <c r="H366" s="30"/>
      <c r="I366" s="30"/>
      <c r="J366" s="30"/>
      <c r="K366" s="30"/>
      <c r="L366" s="30"/>
      <c r="M366" s="30"/>
      <c r="N366" s="30"/>
    </row>
    <row r="367" spans="1:14" ht="12.75">
      <c r="A367" s="30"/>
      <c r="B367" s="30"/>
      <c r="C367" s="30"/>
      <c r="D367" s="30"/>
      <c r="E367" s="30"/>
      <c r="F367" s="30"/>
      <c r="G367" s="30"/>
      <c r="H367" s="30"/>
      <c r="I367" s="30"/>
      <c r="J367" s="30"/>
      <c r="K367" s="30"/>
      <c r="L367" s="30"/>
      <c r="M367" s="30"/>
      <c r="N367" s="30"/>
    </row>
    <row r="368" spans="1:14" ht="12.75">
      <c r="A368" s="30"/>
      <c r="B368" s="30"/>
      <c r="C368" s="30"/>
      <c r="D368" s="30"/>
      <c r="E368" s="30"/>
      <c r="F368" s="30"/>
      <c r="G368" s="30"/>
      <c r="H368" s="30"/>
      <c r="I368" s="30"/>
      <c r="J368" s="30"/>
      <c r="K368" s="30"/>
      <c r="L368" s="30"/>
      <c r="M368" s="30"/>
      <c r="N368" s="30"/>
    </row>
    <row r="369" spans="1:14" ht="12.75">
      <c r="A369" s="30"/>
      <c r="B369" s="30"/>
      <c r="C369" s="30"/>
      <c r="D369" s="30"/>
      <c r="E369" s="30"/>
      <c r="F369" s="30"/>
      <c r="G369" s="30"/>
      <c r="H369" s="30"/>
      <c r="I369" s="30"/>
      <c r="J369" s="30"/>
      <c r="K369" s="30"/>
      <c r="L369" s="30"/>
      <c r="M369" s="30"/>
      <c r="N369" s="30"/>
    </row>
    <row r="370" spans="1:14" ht="12.75">
      <c r="A370" s="30"/>
      <c r="B370" s="30"/>
      <c r="C370" s="30"/>
      <c r="D370" s="30"/>
      <c r="E370" s="30"/>
      <c r="F370" s="30"/>
      <c r="G370" s="30"/>
      <c r="H370" s="30"/>
      <c r="I370" s="30"/>
      <c r="J370" s="30"/>
      <c r="K370" s="30"/>
      <c r="L370" s="30"/>
      <c r="M370" s="30"/>
      <c r="N370" s="30"/>
    </row>
    <row r="371" spans="1:14" ht="12.75">
      <c r="A371" s="30"/>
      <c r="B371" s="30"/>
      <c r="C371" s="30"/>
      <c r="D371" s="30"/>
      <c r="E371" s="30"/>
      <c r="F371" s="30"/>
      <c r="G371" s="30"/>
      <c r="H371" s="30"/>
      <c r="I371" s="30"/>
      <c r="J371" s="30"/>
      <c r="K371" s="30"/>
      <c r="L371" s="30"/>
      <c r="M371" s="30"/>
      <c r="N371" s="30"/>
    </row>
    <row r="372" spans="1:14" ht="12.75">
      <c r="A372" s="30"/>
      <c r="B372" s="30"/>
      <c r="C372" s="30"/>
      <c r="D372" s="30"/>
      <c r="E372" s="30"/>
      <c r="F372" s="30"/>
      <c r="G372" s="30"/>
      <c r="H372" s="30"/>
      <c r="I372" s="30"/>
      <c r="J372" s="30"/>
      <c r="K372" s="30"/>
      <c r="L372" s="30"/>
      <c r="M372" s="30"/>
      <c r="N372" s="30"/>
    </row>
    <row r="373" spans="1:14" ht="12.75">
      <c r="A373" s="30"/>
      <c r="B373" s="30"/>
      <c r="C373" s="30"/>
      <c r="D373" s="30"/>
      <c r="E373" s="30"/>
      <c r="F373" s="30"/>
      <c r="G373" s="30"/>
      <c r="H373" s="30"/>
      <c r="I373" s="30"/>
      <c r="J373" s="30"/>
      <c r="K373" s="30"/>
      <c r="L373" s="30"/>
      <c r="M373" s="30"/>
      <c r="N373" s="30"/>
    </row>
    <row r="374" spans="1:14" ht="12.75">
      <c r="A374" s="30"/>
      <c r="B374" s="30"/>
      <c r="C374" s="30"/>
      <c r="D374" s="30"/>
      <c r="E374" s="30"/>
      <c r="F374" s="30"/>
      <c r="G374" s="30"/>
      <c r="H374" s="30"/>
      <c r="I374" s="30"/>
      <c r="J374" s="30"/>
      <c r="K374" s="30"/>
      <c r="L374" s="30"/>
      <c r="M374" s="30"/>
      <c r="N374" s="30"/>
    </row>
    <row r="375" spans="1:14" ht="12.75">
      <c r="A375" s="30"/>
      <c r="B375" s="30"/>
      <c r="C375" s="30"/>
      <c r="D375" s="30"/>
      <c r="E375" s="30"/>
      <c r="F375" s="30"/>
      <c r="G375" s="30"/>
      <c r="H375" s="30"/>
      <c r="I375" s="30"/>
      <c r="J375" s="30"/>
      <c r="K375" s="30"/>
      <c r="L375" s="30"/>
      <c r="M375" s="30"/>
      <c r="N375" s="30"/>
    </row>
    <row r="376" spans="1:14" ht="12.75">
      <c r="A376" s="30"/>
      <c r="B376" s="30"/>
      <c r="C376" s="30"/>
      <c r="D376" s="30"/>
      <c r="E376" s="30"/>
      <c r="F376" s="30"/>
      <c r="G376" s="30"/>
      <c r="H376" s="30"/>
      <c r="I376" s="30"/>
      <c r="J376" s="30"/>
      <c r="K376" s="30"/>
      <c r="L376" s="30"/>
      <c r="M376" s="30"/>
      <c r="N376" s="30"/>
    </row>
    <row r="377" spans="1:14" ht="12.75">
      <c r="A377" s="30"/>
      <c r="B377" s="30"/>
      <c r="C377" s="30"/>
      <c r="D377" s="30"/>
      <c r="E377" s="30"/>
      <c r="F377" s="30"/>
      <c r="G377" s="30"/>
      <c r="H377" s="30"/>
      <c r="I377" s="30"/>
      <c r="J377" s="30"/>
      <c r="K377" s="30"/>
      <c r="L377" s="30"/>
      <c r="M377" s="30"/>
      <c r="N377" s="30"/>
    </row>
    <row r="378" spans="1:14" ht="12.75">
      <c r="A378" s="30"/>
      <c r="B378" s="30"/>
      <c r="C378" s="30"/>
      <c r="D378" s="30"/>
      <c r="E378" s="30"/>
      <c r="F378" s="30"/>
      <c r="G378" s="30"/>
      <c r="H378" s="30"/>
      <c r="I378" s="30"/>
      <c r="J378" s="30"/>
      <c r="K378" s="30"/>
      <c r="L378" s="30"/>
      <c r="M378" s="30"/>
      <c r="N378" s="30"/>
    </row>
    <row r="379" spans="1:14" ht="12.75">
      <c r="A379" s="30"/>
      <c r="B379" s="30"/>
      <c r="C379" s="30"/>
      <c r="D379" s="30"/>
      <c r="E379" s="30"/>
      <c r="F379" s="30"/>
      <c r="G379" s="30"/>
      <c r="H379" s="30"/>
      <c r="I379" s="30"/>
      <c r="J379" s="30"/>
      <c r="K379" s="30"/>
      <c r="L379" s="30"/>
      <c r="M379" s="30"/>
      <c r="N379" s="30"/>
    </row>
    <row r="380" spans="1:14" ht="12.75">
      <c r="A380" s="30"/>
      <c r="B380" s="30"/>
      <c r="C380" s="30"/>
      <c r="D380" s="30"/>
      <c r="E380" s="30"/>
      <c r="F380" s="30"/>
      <c r="G380" s="30"/>
      <c r="H380" s="30"/>
      <c r="I380" s="30"/>
      <c r="J380" s="30"/>
      <c r="K380" s="30"/>
      <c r="L380" s="30"/>
      <c r="M380" s="30"/>
      <c r="N380" s="30"/>
    </row>
    <row r="381" spans="1:14" ht="12.75">
      <c r="A381" s="30"/>
      <c r="B381" s="30"/>
      <c r="C381" s="30"/>
      <c r="D381" s="30"/>
      <c r="E381" s="30"/>
      <c r="F381" s="30"/>
      <c r="G381" s="30"/>
      <c r="H381" s="30"/>
      <c r="I381" s="30"/>
      <c r="J381" s="30"/>
      <c r="K381" s="30"/>
      <c r="L381" s="30"/>
      <c r="M381" s="30"/>
      <c r="N381" s="30"/>
    </row>
    <row r="382" spans="1:14" ht="12.75">
      <c r="A382" s="30"/>
      <c r="B382" s="30"/>
      <c r="C382" s="30"/>
      <c r="D382" s="30"/>
      <c r="E382" s="30"/>
      <c r="F382" s="30"/>
      <c r="G382" s="30"/>
      <c r="H382" s="30"/>
      <c r="I382" s="30"/>
      <c r="J382" s="30"/>
      <c r="K382" s="30"/>
      <c r="L382" s="30"/>
      <c r="M382" s="30"/>
      <c r="N382" s="30"/>
    </row>
    <row r="383" spans="1:14" ht="12.75">
      <c r="A383" s="30"/>
      <c r="B383" s="30"/>
      <c r="C383" s="30"/>
      <c r="D383" s="30"/>
      <c r="E383" s="30"/>
      <c r="F383" s="30"/>
      <c r="G383" s="30"/>
      <c r="H383" s="30"/>
      <c r="I383" s="30"/>
      <c r="J383" s="30"/>
      <c r="K383" s="30"/>
      <c r="L383" s="30"/>
      <c r="M383" s="30"/>
      <c r="N383" s="30"/>
    </row>
    <row r="384" spans="1:14" ht="12.75">
      <c r="A384" s="30"/>
      <c r="B384" s="30"/>
      <c r="C384" s="30"/>
      <c r="D384" s="30"/>
      <c r="E384" s="30"/>
      <c r="F384" s="30"/>
      <c r="G384" s="30"/>
      <c r="H384" s="30"/>
      <c r="I384" s="30"/>
      <c r="J384" s="30"/>
      <c r="K384" s="30"/>
      <c r="L384" s="30"/>
      <c r="M384" s="30"/>
      <c r="N384" s="30"/>
    </row>
    <row r="385" spans="1:14" ht="12.75">
      <c r="A385" s="30"/>
      <c r="B385" s="30"/>
      <c r="C385" s="30"/>
      <c r="D385" s="30"/>
      <c r="E385" s="30"/>
      <c r="F385" s="30"/>
      <c r="G385" s="30"/>
      <c r="H385" s="30"/>
      <c r="I385" s="30"/>
      <c r="J385" s="30"/>
      <c r="K385" s="30"/>
      <c r="L385" s="30"/>
      <c r="M385" s="30"/>
      <c r="N385" s="30"/>
    </row>
    <row r="386" spans="1:14" ht="12.75">
      <c r="A386" s="30"/>
      <c r="B386" s="30"/>
      <c r="C386" s="30"/>
      <c r="D386" s="30"/>
      <c r="E386" s="30"/>
      <c r="F386" s="30"/>
      <c r="G386" s="30"/>
      <c r="H386" s="30"/>
      <c r="I386" s="30"/>
      <c r="J386" s="30"/>
      <c r="K386" s="30"/>
      <c r="L386" s="30"/>
      <c r="M386" s="30"/>
      <c r="N386" s="30"/>
    </row>
    <row r="387" spans="1:14" ht="12.75">
      <c r="A387" s="30"/>
      <c r="B387" s="30"/>
      <c r="C387" s="30"/>
      <c r="D387" s="30"/>
      <c r="E387" s="30"/>
      <c r="F387" s="30"/>
      <c r="G387" s="30"/>
      <c r="H387" s="30"/>
      <c r="I387" s="30"/>
      <c r="J387" s="30"/>
      <c r="K387" s="30"/>
      <c r="L387" s="30"/>
      <c r="M387" s="30"/>
      <c r="N387" s="30"/>
    </row>
    <row r="388" spans="1:14" ht="12.75">
      <c r="A388" s="30"/>
      <c r="B388" s="30"/>
      <c r="C388" s="30"/>
      <c r="D388" s="30"/>
      <c r="E388" s="30"/>
      <c r="F388" s="30"/>
      <c r="G388" s="30"/>
      <c r="H388" s="30"/>
      <c r="I388" s="30"/>
      <c r="J388" s="30"/>
      <c r="K388" s="30"/>
      <c r="L388" s="30"/>
      <c r="M388" s="30"/>
      <c r="N388" s="30"/>
    </row>
    <row r="389" spans="1:14" ht="12.75">
      <c r="A389" s="30"/>
      <c r="B389" s="30"/>
      <c r="C389" s="30"/>
      <c r="D389" s="30"/>
      <c r="E389" s="30"/>
      <c r="F389" s="30"/>
      <c r="G389" s="30"/>
      <c r="H389" s="30"/>
      <c r="I389" s="30"/>
      <c r="J389" s="30"/>
      <c r="K389" s="30"/>
      <c r="L389" s="30"/>
      <c r="M389" s="30"/>
      <c r="N389" s="30"/>
    </row>
    <row r="390" spans="1:14" ht="12.75">
      <c r="A390" s="30"/>
      <c r="B390" s="30"/>
      <c r="C390" s="30"/>
      <c r="D390" s="30"/>
      <c r="E390" s="30"/>
      <c r="F390" s="30"/>
      <c r="G390" s="30"/>
      <c r="H390" s="30"/>
      <c r="I390" s="30"/>
      <c r="J390" s="30"/>
      <c r="K390" s="30"/>
      <c r="L390" s="30"/>
      <c r="M390" s="30"/>
      <c r="N390" s="30"/>
    </row>
    <row r="391" spans="1:14" ht="12.75">
      <c r="A391" s="30"/>
      <c r="B391" s="30"/>
      <c r="C391" s="30"/>
      <c r="D391" s="30"/>
      <c r="E391" s="30"/>
      <c r="F391" s="30"/>
      <c r="G391" s="30"/>
      <c r="H391" s="30"/>
      <c r="I391" s="30"/>
      <c r="J391" s="30"/>
      <c r="K391" s="30"/>
      <c r="L391" s="30"/>
      <c r="M391" s="30"/>
      <c r="N391" s="30"/>
    </row>
    <row r="392" spans="1:14" ht="12.75">
      <c r="A392" s="30"/>
      <c r="B392" s="30"/>
      <c r="C392" s="30"/>
      <c r="D392" s="30"/>
      <c r="E392" s="30"/>
      <c r="F392" s="30"/>
      <c r="G392" s="30"/>
      <c r="H392" s="30"/>
      <c r="I392" s="30"/>
      <c r="J392" s="30"/>
      <c r="K392" s="30"/>
      <c r="L392" s="30"/>
      <c r="M392" s="30"/>
      <c r="N392" s="30"/>
    </row>
    <row r="393" spans="1:14" ht="12.75">
      <c r="A393" s="30"/>
      <c r="B393" s="30"/>
      <c r="C393" s="30"/>
      <c r="D393" s="30"/>
      <c r="E393" s="30"/>
      <c r="F393" s="30"/>
      <c r="G393" s="30"/>
      <c r="H393" s="30"/>
      <c r="I393" s="30"/>
      <c r="J393" s="30"/>
      <c r="K393" s="30"/>
      <c r="L393" s="30"/>
      <c r="M393" s="30"/>
      <c r="N393" s="30"/>
    </row>
    <row r="394" spans="1:14" ht="12.75">
      <c r="A394" s="30"/>
      <c r="B394" s="30"/>
      <c r="C394" s="30"/>
      <c r="D394" s="30"/>
      <c r="E394" s="30"/>
      <c r="F394" s="30"/>
      <c r="G394" s="30"/>
      <c r="H394" s="30"/>
      <c r="I394" s="30"/>
      <c r="J394" s="30"/>
      <c r="K394" s="30"/>
      <c r="L394" s="30"/>
      <c r="M394" s="30"/>
      <c r="N394" s="30"/>
    </row>
    <row r="395" spans="1:14" ht="12.75">
      <c r="A395" s="30"/>
      <c r="B395" s="30"/>
      <c r="C395" s="30"/>
      <c r="D395" s="30"/>
      <c r="E395" s="30"/>
      <c r="F395" s="30"/>
      <c r="G395" s="30"/>
      <c r="H395" s="30"/>
      <c r="I395" s="30"/>
      <c r="J395" s="30"/>
      <c r="K395" s="30"/>
      <c r="L395" s="30"/>
      <c r="M395" s="30"/>
      <c r="N395" s="30"/>
    </row>
    <row r="396" spans="1:14" ht="12.75">
      <c r="A396" s="30"/>
      <c r="B396" s="30"/>
      <c r="C396" s="30"/>
      <c r="D396" s="30"/>
      <c r="E396" s="30"/>
      <c r="F396" s="30"/>
      <c r="G396" s="30"/>
      <c r="H396" s="30"/>
      <c r="I396" s="30"/>
      <c r="J396" s="30"/>
      <c r="K396" s="30"/>
      <c r="L396" s="30"/>
      <c r="M396" s="30"/>
      <c r="N396" s="30"/>
    </row>
    <row r="397" spans="1:14" ht="12.75">
      <c r="A397" s="30"/>
      <c r="B397" s="30"/>
      <c r="C397" s="30"/>
      <c r="D397" s="30"/>
      <c r="E397" s="30"/>
      <c r="F397" s="30"/>
      <c r="G397" s="30"/>
      <c r="H397" s="30"/>
      <c r="I397" s="30"/>
      <c r="J397" s="30"/>
      <c r="K397" s="30"/>
      <c r="L397" s="30"/>
      <c r="M397" s="30"/>
      <c r="N397" s="30"/>
    </row>
    <row r="398" spans="1:14" ht="12.75">
      <c r="A398" s="30"/>
      <c r="B398" s="30"/>
      <c r="C398" s="30"/>
      <c r="D398" s="30"/>
      <c r="E398" s="30"/>
      <c r="F398" s="30"/>
      <c r="G398" s="30"/>
      <c r="H398" s="30"/>
      <c r="I398" s="30"/>
      <c r="J398" s="30"/>
      <c r="K398" s="30"/>
      <c r="L398" s="30"/>
      <c r="M398" s="30"/>
      <c r="N398" s="30"/>
    </row>
    <row r="399" spans="1:14" ht="12.75">
      <c r="A399" s="30"/>
      <c r="B399" s="30"/>
      <c r="C399" s="30"/>
      <c r="D399" s="30"/>
      <c r="E399" s="30"/>
      <c r="F399" s="30"/>
      <c r="G399" s="30"/>
      <c r="H399" s="30"/>
      <c r="I399" s="30"/>
      <c r="J399" s="30"/>
      <c r="K399" s="30"/>
      <c r="L399" s="30"/>
      <c r="M399" s="30"/>
      <c r="N399" s="30"/>
    </row>
    <row r="400" spans="1:14" ht="12.75">
      <c r="A400" s="30"/>
      <c r="B400" s="30"/>
      <c r="C400" s="30"/>
      <c r="D400" s="30"/>
      <c r="E400" s="30"/>
      <c r="F400" s="30"/>
      <c r="G400" s="30"/>
      <c r="H400" s="30"/>
      <c r="I400" s="30"/>
      <c r="J400" s="30"/>
      <c r="K400" s="30"/>
      <c r="L400" s="30"/>
      <c r="M400" s="30"/>
      <c r="N400" s="30"/>
    </row>
    <row r="401" spans="1:14" ht="12.75">
      <c r="A401" s="30"/>
      <c r="B401" s="30"/>
      <c r="C401" s="30"/>
      <c r="D401" s="30"/>
      <c r="E401" s="30"/>
      <c r="F401" s="30"/>
      <c r="G401" s="30"/>
      <c r="H401" s="30"/>
      <c r="I401" s="30"/>
      <c r="J401" s="30"/>
      <c r="K401" s="30"/>
      <c r="L401" s="30"/>
      <c r="M401" s="30"/>
      <c r="N401" s="30"/>
    </row>
    <row r="402" spans="1:14" ht="12.75">
      <c r="A402" s="30"/>
      <c r="B402" s="30"/>
      <c r="C402" s="30"/>
      <c r="D402" s="30"/>
      <c r="E402" s="30"/>
      <c r="F402" s="30"/>
      <c r="G402" s="30"/>
      <c r="H402" s="30"/>
      <c r="I402" s="30"/>
      <c r="J402" s="30"/>
      <c r="K402" s="30"/>
      <c r="L402" s="30"/>
      <c r="M402" s="30"/>
      <c r="N402" s="30"/>
    </row>
    <row r="403" spans="1:14" ht="12.75">
      <c r="A403" s="30"/>
      <c r="B403" s="30"/>
      <c r="C403" s="30"/>
      <c r="D403" s="30"/>
      <c r="E403" s="30"/>
      <c r="F403" s="30"/>
      <c r="G403" s="30"/>
      <c r="H403" s="30"/>
      <c r="I403" s="30"/>
      <c r="J403" s="30"/>
      <c r="K403" s="30"/>
      <c r="L403" s="30"/>
      <c r="M403" s="30"/>
      <c r="N403" s="30"/>
    </row>
    <row r="404" spans="1:14" ht="12.75">
      <c r="A404" s="30"/>
      <c r="B404" s="30"/>
      <c r="C404" s="30"/>
      <c r="D404" s="30"/>
      <c r="E404" s="30"/>
      <c r="F404" s="30"/>
      <c r="G404" s="30"/>
      <c r="H404" s="30"/>
      <c r="I404" s="30"/>
      <c r="J404" s="30"/>
      <c r="K404" s="30"/>
      <c r="L404" s="30"/>
      <c r="M404" s="30"/>
      <c r="N404" s="30"/>
    </row>
    <row r="405" spans="1:14" ht="12.75">
      <c r="A405" s="30"/>
      <c r="B405" s="30"/>
      <c r="C405" s="30"/>
      <c r="D405" s="30"/>
      <c r="E405" s="30"/>
      <c r="F405" s="30"/>
      <c r="G405" s="30"/>
      <c r="H405" s="30"/>
      <c r="I405" s="30"/>
      <c r="J405" s="30"/>
      <c r="K405" s="30"/>
      <c r="L405" s="30"/>
      <c r="M405" s="30"/>
      <c r="N405" s="30"/>
    </row>
    <row r="406" spans="1:14" ht="12.75">
      <c r="A406" s="30"/>
      <c r="B406" s="30"/>
      <c r="C406" s="30"/>
      <c r="D406" s="30"/>
      <c r="E406" s="30"/>
      <c r="F406" s="30"/>
      <c r="G406" s="30"/>
      <c r="H406" s="30"/>
      <c r="I406" s="30"/>
      <c r="J406" s="30"/>
      <c r="K406" s="30"/>
      <c r="L406" s="30"/>
      <c r="M406" s="30"/>
      <c r="N406" s="30"/>
    </row>
    <row r="407" spans="1:14" ht="12.75">
      <c r="A407" s="30"/>
      <c r="B407" s="30"/>
      <c r="C407" s="30"/>
      <c r="D407" s="30"/>
      <c r="E407" s="30"/>
      <c r="F407" s="30"/>
      <c r="G407" s="30"/>
      <c r="H407" s="30"/>
      <c r="I407" s="30"/>
      <c r="J407" s="30"/>
      <c r="K407" s="30"/>
      <c r="L407" s="30"/>
      <c r="M407" s="30"/>
      <c r="N407" s="30"/>
    </row>
    <row r="408" spans="1:14" ht="12.75">
      <c r="A408" s="30"/>
      <c r="B408" s="30"/>
      <c r="C408" s="30"/>
      <c r="D408" s="30"/>
      <c r="E408" s="30"/>
      <c r="F408" s="30"/>
      <c r="G408" s="30"/>
      <c r="H408" s="30"/>
      <c r="I408" s="30"/>
      <c r="J408" s="30"/>
      <c r="K408" s="30"/>
      <c r="L408" s="30"/>
      <c r="M408" s="30"/>
      <c r="N408" s="30"/>
    </row>
    <row r="409" spans="1:14" ht="12.75">
      <c r="A409" s="30"/>
      <c r="B409" s="30"/>
      <c r="C409" s="30"/>
      <c r="D409" s="30"/>
      <c r="E409" s="30"/>
      <c r="F409" s="30"/>
      <c r="G409" s="30"/>
      <c r="H409" s="30"/>
      <c r="I409" s="30"/>
      <c r="J409" s="30"/>
      <c r="K409" s="30"/>
      <c r="L409" s="30"/>
      <c r="M409" s="30"/>
      <c r="N409" s="30"/>
    </row>
    <row r="410" spans="1:14" ht="12.75">
      <c r="A410" s="30"/>
      <c r="B410" s="30"/>
      <c r="C410" s="30"/>
      <c r="D410" s="30"/>
      <c r="E410" s="30"/>
      <c r="F410" s="30"/>
      <c r="G410" s="30"/>
      <c r="H410" s="30"/>
      <c r="I410" s="30"/>
      <c r="J410" s="30"/>
      <c r="K410" s="30"/>
      <c r="L410" s="30"/>
      <c r="M410" s="30"/>
      <c r="N410" s="30"/>
    </row>
    <row r="411" spans="1:14" ht="12.75">
      <c r="A411" s="30"/>
      <c r="B411" s="30"/>
      <c r="C411" s="30"/>
      <c r="D411" s="30"/>
      <c r="E411" s="30"/>
      <c r="F411" s="30"/>
      <c r="G411" s="30"/>
      <c r="H411" s="30"/>
      <c r="I411" s="30"/>
      <c r="J411" s="30"/>
      <c r="K411" s="30"/>
      <c r="L411" s="30"/>
      <c r="M411" s="30"/>
      <c r="N411" s="30"/>
    </row>
    <row r="412" spans="1:14" ht="12.75">
      <c r="A412" s="30"/>
      <c r="B412" s="30"/>
      <c r="C412" s="30"/>
      <c r="D412" s="30"/>
      <c r="E412" s="30"/>
      <c r="F412" s="30"/>
      <c r="G412" s="30"/>
      <c r="H412" s="30"/>
      <c r="I412" s="30"/>
      <c r="J412" s="30"/>
      <c r="K412" s="30"/>
      <c r="L412" s="30"/>
      <c r="M412" s="30"/>
      <c r="N412" s="30"/>
    </row>
    <row r="413" spans="1:14" ht="12.75">
      <c r="A413" s="30"/>
      <c r="B413" s="30"/>
      <c r="C413" s="30"/>
      <c r="D413" s="30"/>
      <c r="E413" s="30"/>
      <c r="F413" s="30"/>
      <c r="G413" s="30"/>
      <c r="H413" s="30"/>
      <c r="I413" s="30"/>
      <c r="J413" s="30"/>
      <c r="K413" s="30"/>
      <c r="L413" s="30"/>
      <c r="M413" s="30"/>
      <c r="N413" s="30"/>
    </row>
    <row r="414" spans="1:14" ht="12.75">
      <c r="A414" s="30"/>
      <c r="B414" s="30"/>
      <c r="C414" s="30"/>
      <c r="D414" s="30"/>
      <c r="E414" s="30"/>
      <c r="F414" s="30"/>
      <c r="G414" s="30"/>
      <c r="H414" s="30"/>
      <c r="I414" s="30"/>
      <c r="J414" s="30"/>
      <c r="K414" s="30"/>
      <c r="L414" s="30"/>
      <c r="M414" s="30"/>
      <c r="N414" s="30"/>
    </row>
    <row r="415" spans="1:14" ht="12.75">
      <c r="A415" s="30"/>
      <c r="B415" s="30"/>
      <c r="C415" s="30"/>
      <c r="D415" s="30"/>
      <c r="E415" s="30"/>
      <c r="F415" s="30"/>
      <c r="G415" s="30"/>
      <c r="H415" s="30"/>
      <c r="I415" s="30"/>
      <c r="J415" s="30"/>
      <c r="K415" s="30"/>
      <c r="L415" s="30"/>
      <c r="M415" s="30"/>
      <c r="N415" s="30"/>
    </row>
    <row r="416" spans="1:14" ht="12.75">
      <c r="A416" s="30"/>
      <c r="B416" s="30"/>
      <c r="C416" s="30"/>
      <c r="D416" s="30"/>
      <c r="E416" s="30"/>
      <c r="F416" s="30"/>
      <c r="G416" s="30"/>
      <c r="H416" s="30"/>
      <c r="I416" s="30"/>
      <c r="J416" s="30"/>
      <c r="K416" s="30"/>
      <c r="L416" s="30"/>
      <c r="M416" s="30"/>
      <c r="N416" s="30"/>
    </row>
    <row r="417" spans="1:14" ht="12.75">
      <c r="A417" s="30"/>
      <c r="B417" s="30"/>
      <c r="C417" s="30"/>
      <c r="D417" s="30"/>
      <c r="E417" s="30"/>
      <c r="F417" s="30"/>
      <c r="G417" s="30"/>
      <c r="H417" s="30"/>
      <c r="I417" s="30"/>
      <c r="J417" s="30"/>
      <c r="K417" s="30"/>
      <c r="L417" s="30"/>
      <c r="M417" s="30"/>
      <c r="N417" s="30"/>
    </row>
    <row r="418" spans="1:14" ht="12.75">
      <c r="A418" s="30"/>
      <c r="B418" s="30"/>
      <c r="C418" s="30"/>
      <c r="D418" s="30"/>
      <c r="E418" s="30"/>
      <c r="F418" s="30"/>
      <c r="G418" s="30"/>
      <c r="H418" s="30"/>
      <c r="I418" s="30"/>
      <c r="J418" s="30"/>
      <c r="K418" s="30"/>
      <c r="L418" s="30"/>
      <c r="M418" s="30"/>
      <c r="N418" s="30"/>
    </row>
    <row r="419" spans="1:14" ht="12.75">
      <c r="A419" s="30"/>
      <c r="B419" s="30"/>
      <c r="C419" s="30"/>
      <c r="D419" s="30"/>
      <c r="E419" s="30"/>
      <c r="F419" s="30"/>
      <c r="G419" s="30"/>
      <c r="H419" s="30"/>
      <c r="I419" s="30"/>
      <c r="J419" s="30"/>
      <c r="K419" s="30"/>
      <c r="L419" s="30"/>
      <c r="M419" s="30"/>
      <c r="N419" s="30"/>
    </row>
    <row r="420" spans="1:14" ht="12.75">
      <c r="A420" s="30"/>
      <c r="B420" s="30"/>
      <c r="C420" s="30"/>
      <c r="D420" s="30"/>
      <c r="E420" s="30"/>
      <c r="F420" s="30"/>
      <c r="G420" s="30"/>
      <c r="H420" s="30"/>
      <c r="I420" s="30"/>
      <c r="J420" s="30"/>
      <c r="K420" s="30"/>
      <c r="L420" s="30"/>
      <c r="M420" s="30"/>
      <c r="N420" s="30"/>
    </row>
    <row r="421" spans="1:14" ht="12.75">
      <c r="A421" s="30"/>
      <c r="B421" s="30"/>
      <c r="C421" s="30"/>
      <c r="D421" s="30"/>
      <c r="E421" s="30"/>
      <c r="F421" s="30"/>
      <c r="G421" s="30"/>
      <c r="H421" s="30"/>
      <c r="I421" s="30"/>
      <c r="J421" s="30"/>
      <c r="K421" s="30"/>
      <c r="L421" s="30"/>
      <c r="M421" s="30"/>
      <c r="N421" s="30"/>
    </row>
    <row r="422" spans="1:14" ht="12.75">
      <c r="A422" s="30"/>
      <c r="B422" s="30"/>
      <c r="C422" s="30"/>
      <c r="D422" s="30"/>
      <c r="E422" s="30"/>
      <c r="F422" s="30"/>
      <c r="G422" s="30"/>
      <c r="H422" s="30"/>
      <c r="I422" s="30"/>
      <c r="J422" s="30"/>
      <c r="K422" s="30"/>
      <c r="L422" s="30"/>
      <c r="M422" s="30"/>
      <c r="N422" s="30"/>
    </row>
    <row r="423" spans="1:14" ht="12.75">
      <c r="A423" s="30"/>
      <c r="B423" s="30"/>
      <c r="C423" s="30"/>
      <c r="D423" s="30"/>
      <c r="E423" s="30"/>
      <c r="F423" s="30"/>
      <c r="G423" s="30"/>
      <c r="H423" s="30"/>
      <c r="I423" s="30"/>
      <c r="J423" s="30"/>
      <c r="K423" s="30"/>
      <c r="L423" s="30"/>
      <c r="M423" s="30"/>
      <c r="N423" s="30"/>
    </row>
    <row r="424" spans="1:14" ht="12.75">
      <c r="A424" s="30"/>
      <c r="B424" s="30"/>
      <c r="C424" s="30"/>
      <c r="D424" s="30"/>
      <c r="E424" s="30"/>
      <c r="F424" s="30"/>
      <c r="G424" s="30"/>
      <c r="H424" s="30"/>
      <c r="I424" s="30"/>
      <c r="J424" s="30"/>
      <c r="K424" s="30"/>
      <c r="L424" s="30"/>
      <c r="M424" s="30"/>
      <c r="N424" s="30"/>
    </row>
    <row r="425" spans="1:14" ht="12.75">
      <c r="A425" s="30"/>
      <c r="B425" s="30"/>
      <c r="C425" s="30"/>
      <c r="D425" s="30"/>
      <c r="E425" s="30"/>
      <c r="F425" s="30"/>
      <c r="G425" s="30"/>
      <c r="H425" s="30"/>
      <c r="I425" s="30"/>
      <c r="J425" s="30"/>
      <c r="K425" s="30"/>
      <c r="L425" s="30"/>
      <c r="M425" s="30"/>
      <c r="N425" s="30"/>
    </row>
    <row r="426" spans="1:14" ht="12.75">
      <c r="A426" s="30"/>
      <c r="B426" s="30"/>
      <c r="C426" s="30"/>
      <c r="D426" s="30"/>
      <c r="E426" s="30"/>
      <c r="F426" s="30"/>
      <c r="G426" s="30"/>
      <c r="H426" s="30"/>
      <c r="I426" s="30"/>
      <c r="J426" s="30"/>
      <c r="K426" s="30"/>
      <c r="L426" s="30"/>
      <c r="M426" s="30"/>
      <c r="N426" s="30"/>
    </row>
    <row r="427" spans="1:14" ht="12.75">
      <c r="A427" s="30"/>
      <c r="B427" s="30"/>
      <c r="C427" s="30"/>
      <c r="D427" s="30"/>
      <c r="E427" s="30"/>
      <c r="F427" s="30"/>
      <c r="G427" s="30"/>
      <c r="H427" s="30"/>
      <c r="I427" s="30"/>
      <c r="J427" s="30"/>
      <c r="K427" s="30"/>
      <c r="L427" s="30"/>
      <c r="M427" s="30"/>
      <c r="N427" s="30"/>
    </row>
    <row r="428" spans="1:14" ht="12.75">
      <c r="A428" s="30"/>
      <c r="B428" s="30"/>
      <c r="C428" s="30"/>
      <c r="D428" s="30"/>
      <c r="E428" s="30"/>
      <c r="F428" s="30"/>
      <c r="G428" s="30"/>
      <c r="H428" s="30"/>
      <c r="I428" s="30"/>
      <c r="J428" s="30"/>
      <c r="K428" s="30"/>
      <c r="L428" s="30"/>
      <c r="M428" s="30"/>
      <c r="N428" s="30"/>
    </row>
    <row r="429" spans="1:14" ht="12.75">
      <c r="A429" s="30"/>
      <c r="B429" s="30"/>
      <c r="C429" s="30"/>
      <c r="D429" s="30"/>
      <c r="E429" s="30"/>
      <c r="F429" s="30"/>
      <c r="G429" s="30"/>
      <c r="H429" s="30"/>
      <c r="I429" s="30"/>
      <c r="J429" s="30"/>
      <c r="K429" s="30"/>
      <c r="L429" s="30"/>
      <c r="M429" s="30"/>
      <c r="N429" s="30"/>
    </row>
    <row r="430" spans="1:14" ht="12.75">
      <c r="A430" s="30"/>
      <c r="B430" s="30"/>
      <c r="C430" s="30"/>
      <c r="D430" s="30"/>
      <c r="E430" s="30"/>
      <c r="F430" s="30"/>
      <c r="G430" s="30"/>
      <c r="H430" s="30"/>
      <c r="I430" s="30"/>
      <c r="J430" s="30"/>
      <c r="K430" s="30"/>
      <c r="L430" s="30"/>
      <c r="M430" s="30"/>
      <c r="N430" s="30"/>
    </row>
    <row r="431" spans="1:14" ht="12.75">
      <c r="A431" s="30"/>
      <c r="B431" s="30"/>
      <c r="C431" s="30"/>
      <c r="D431" s="30"/>
      <c r="E431" s="30"/>
      <c r="F431" s="30"/>
      <c r="G431" s="30"/>
      <c r="H431" s="30"/>
      <c r="I431" s="30"/>
      <c r="J431" s="30"/>
      <c r="K431" s="30"/>
      <c r="L431" s="30"/>
      <c r="M431" s="30"/>
      <c r="N431" s="30"/>
    </row>
    <row r="432" spans="1:14" ht="12.75">
      <c r="A432" s="30"/>
      <c r="B432" s="30"/>
      <c r="C432" s="30"/>
      <c r="D432" s="30"/>
      <c r="E432" s="30"/>
      <c r="F432" s="30"/>
      <c r="G432" s="30"/>
      <c r="H432" s="30"/>
      <c r="I432" s="30"/>
      <c r="J432" s="30"/>
      <c r="K432" s="30"/>
      <c r="L432" s="30"/>
      <c r="M432" s="30"/>
      <c r="N432" s="30"/>
    </row>
    <row r="433" spans="1:14" ht="12.75">
      <c r="A433" s="30"/>
      <c r="B433" s="30"/>
      <c r="C433" s="30"/>
      <c r="D433" s="30"/>
      <c r="E433" s="30"/>
      <c r="F433" s="30"/>
      <c r="G433" s="30"/>
      <c r="H433" s="30"/>
      <c r="I433" s="30"/>
      <c r="J433" s="30"/>
      <c r="K433" s="30"/>
      <c r="L433" s="30"/>
      <c r="M433" s="30"/>
      <c r="N433" s="30"/>
    </row>
    <row r="434" spans="1:14" ht="12.75">
      <c r="A434" s="30"/>
      <c r="B434" s="30"/>
      <c r="C434" s="30"/>
      <c r="D434" s="30"/>
      <c r="E434" s="30"/>
      <c r="F434" s="30"/>
      <c r="G434" s="30"/>
      <c r="H434" s="30"/>
      <c r="I434" s="30"/>
      <c r="J434" s="30"/>
      <c r="K434" s="30"/>
      <c r="L434" s="30"/>
      <c r="M434" s="30"/>
      <c r="N434" s="30"/>
    </row>
    <row r="435" spans="1:14" ht="12.75">
      <c r="A435" s="30"/>
      <c r="B435" s="30"/>
      <c r="C435" s="30"/>
      <c r="D435" s="30"/>
      <c r="E435" s="30"/>
      <c r="F435" s="30"/>
      <c r="G435" s="30"/>
      <c r="H435" s="30"/>
      <c r="I435" s="30"/>
      <c r="J435" s="30"/>
      <c r="K435" s="30"/>
      <c r="L435" s="30"/>
      <c r="M435" s="30"/>
      <c r="N435" s="30"/>
    </row>
    <row r="436" spans="1:14" ht="12.75">
      <c r="A436" s="30"/>
      <c r="B436" s="30"/>
      <c r="C436" s="30"/>
      <c r="D436" s="30"/>
      <c r="E436" s="30"/>
      <c r="F436" s="30"/>
      <c r="G436" s="30"/>
      <c r="H436" s="30"/>
      <c r="I436" s="30"/>
      <c r="J436" s="30"/>
      <c r="K436" s="30"/>
      <c r="L436" s="30"/>
      <c r="M436" s="30"/>
      <c r="N436" s="30"/>
    </row>
    <row r="437" spans="1:14" ht="12.75">
      <c r="A437" s="30"/>
      <c r="B437" s="30"/>
      <c r="C437" s="30"/>
      <c r="D437" s="30"/>
      <c r="E437" s="30"/>
      <c r="F437" s="30"/>
      <c r="G437" s="30"/>
      <c r="H437" s="30"/>
      <c r="I437" s="30"/>
      <c r="J437" s="30"/>
      <c r="K437" s="30"/>
      <c r="L437" s="30"/>
      <c r="M437" s="30"/>
      <c r="N437" s="30"/>
    </row>
    <row r="438" spans="1:14" ht="12.75">
      <c r="A438" s="30"/>
      <c r="B438" s="30"/>
      <c r="C438" s="30"/>
      <c r="D438" s="30"/>
      <c r="E438" s="30"/>
      <c r="F438" s="30"/>
      <c r="G438" s="30"/>
      <c r="H438" s="30"/>
      <c r="I438" s="30"/>
      <c r="J438" s="30"/>
      <c r="K438" s="30"/>
      <c r="L438" s="30"/>
      <c r="M438" s="30"/>
      <c r="N438" s="30"/>
    </row>
    <row r="439" spans="1:14" ht="12.75">
      <c r="A439" s="30"/>
      <c r="B439" s="30"/>
      <c r="C439" s="30"/>
      <c r="D439" s="30"/>
      <c r="E439" s="30"/>
      <c r="F439" s="30"/>
      <c r="G439" s="30"/>
      <c r="H439" s="30"/>
      <c r="I439" s="30"/>
      <c r="J439" s="30"/>
      <c r="K439" s="30"/>
      <c r="L439" s="30"/>
      <c r="M439" s="30"/>
      <c r="N439" s="30"/>
    </row>
    <row r="440" spans="1:14" ht="12.75">
      <c r="A440" s="30"/>
      <c r="B440" s="30"/>
      <c r="C440" s="30"/>
      <c r="D440" s="30"/>
      <c r="E440" s="30"/>
      <c r="F440" s="30"/>
      <c r="G440" s="30"/>
      <c r="H440" s="30"/>
      <c r="I440" s="30"/>
      <c r="J440" s="30"/>
      <c r="K440" s="30"/>
      <c r="L440" s="30"/>
      <c r="M440" s="30"/>
      <c r="N440" s="30"/>
    </row>
    <row r="441" spans="1:14" ht="12.75">
      <c r="A441" s="30"/>
      <c r="B441" s="30"/>
      <c r="C441" s="30"/>
      <c r="D441" s="30"/>
      <c r="E441" s="30"/>
      <c r="F441" s="30"/>
      <c r="G441" s="30"/>
      <c r="H441" s="30"/>
      <c r="I441" s="30"/>
      <c r="J441" s="30"/>
      <c r="K441" s="30"/>
      <c r="L441" s="30"/>
      <c r="M441" s="30"/>
      <c r="N441" s="30"/>
    </row>
    <row r="442" spans="1:14" ht="12.75">
      <c r="A442" s="30"/>
      <c r="B442" s="30"/>
      <c r="C442" s="30"/>
      <c r="D442" s="30"/>
      <c r="E442" s="30"/>
      <c r="F442" s="30"/>
      <c r="G442" s="30"/>
      <c r="H442" s="30"/>
      <c r="I442" s="30"/>
      <c r="J442" s="30"/>
      <c r="K442" s="30"/>
      <c r="L442" s="30"/>
      <c r="M442" s="30"/>
      <c r="N442" s="30"/>
    </row>
    <row r="443" spans="1:14" ht="12.75">
      <c r="A443" s="30"/>
      <c r="B443" s="30"/>
      <c r="C443" s="30"/>
      <c r="D443" s="30"/>
      <c r="E443" s="30"/>
      <c r="F443" s="30"/>
      <c r="G443" s="30"/>
      <c r="H443" s="30"/>
      <c r="I443" s="30"/>
      <c r="J443" s="30"/>
      <c r="K443" s="30"/>
      <c r="L443" s="30"/>
      <c r="M443" s="30"/>
      <c r="N443" s="30"/>
    </row>
    <row r="444" spans="1:14" ht="12.75">
      <c r="A444" s="30"/>
      <c r="B444" s="30"/>
      <c r="C444" s="30"/>
      <c r="D444" s="30"/>
      <c r="E444" s="30"/>
      <c r="F444" s="30"/>
      <c r="G444" s="30"/>
      <c r="H444" s="30"/>
      <c r="I444" s="30"/>
      <c r="J444" s="30"/>
      <c r="K444" s="30"/>
      <c r="L444" s="30"/>
      <c r="M444" s="30"/>
      <c r="N444" s="30"/>
    </row>
    <row r="445" spans="1:14" ht="12.75">
      <c r="A445" s="30"/>
      <c r="B445" s="30"/>
      <c r="C445" s="30"/>
      <c r="D445" s="30"/>
      <c r="E445" s="30"/>
      <c r="F445" s="30"/>
      <c r="G445" s="30"/>
      <c r="H445" s="30"/>
      <c r="I445" s="30"/>
      <c r="J445" s="30"/>
      <c r="K445" s="30"/>
      <c r="L445" s="30"/>
      <c r="M445" s="30"/>
      <c r="N445" s="30"/>
    </row>
    <row r="446" spans="1:14" ht="12.75">
      <c r="A446" s="30"/>
      <c r="B446" s="30"/>
      <c r="C446" s="30"/>
      <c r="D446" s="30"/>
      <c r="E446" s="30"/>
      <c r="F446" s="30"/>
      <c r="G446" s="30"/>
      <c r="H446" s="30"/>
      <c r="I446" s="30"/>
      <c r="J446" s="30"/>
      <c r="K446" s="30"/>
      <c r="L446" s="30"/>
      <c r="M446" s="30"/>
      <c r="N446" s="30"/>
    </row>
    <row r="447" spans="1:14" ht="12.75">
      <c r="A447" s="30"/>
      <c r="B447" s="30"/>
      <c r="C447" s="30"/>
      <c r="D447" s="30"/>
      <c r="E447" s="30"/>
      <c r="F447" s="30"/>
      <c r="G447" s="30"/>
      <c r="H447" s="30"/>
      <c r="I447" s="30"/>
      <c r="J447" s="30"/>
      <c r="K447" s="30"/>
      <c r="L447" s="30"/>
      <c r="M447" s="30"/>
      <c r="N447" s="30"/>
    </row>
    <row r="448" spans="1:14" ht="12.75">
      <c r="A448" s="30"/>
      <c r="B448" s="30"/>
      <c r="C448" s="30"/>
      <c r="D448" s="30"/>
      <c r="E448" s="30"/>
      <c r="F448" s="30"/>
      <c r="G448" s="30"/>
      <c r="H448" s="30"/>
      <c r="I448" s="30"/>
      <c r="J448" s="30"/>
      <c r="K448" s="30"/>
      <c r="L448" s="30"/>
      <c r="M448" s="30"/>
      <c r="N448" s="30"/>
    </row>
    <row r="449" spans="1:14" ht="12.75">
      <c r="A449" s="30"/>
      <c r="B449" s="30"/>
      <c r="C449" s="30"/>
      <c r="D449" s="30"/>
      <c r="E449" s="30"/>
      <c r="F449" s="30"/>
      <c r="G449" s="30"/>
      <c r="H449" s="30"/>
      <c r="I449" s="30"/>
      <c r="J449" s="30"/>
      <c r="K449" s="30"/>
      <c r="L449" s="30"/>
      <c r="M449" s="30"/>
      <c r="N449" s="30"/>
    </row>
    <row r="450" spans="1:14" ht="12.75">
      <c r="A450" s="30"/>
      <c r="B450" s="30"/>
      <c r="C450" s="30"/>
      <c r="D450" s="30"/>
      <c r="E450" s="30"/>
      <c r="F450" s="30"/>
      <c r="G450" s="30"/>
      <c r="H450" s="30"/>
      <c r="I450" s="30"/>
      <c r="J450" s="30"/>
      <c r="K450" s="30"/>
      <c r="L450" s="30"/>
      <c r="M450" s="30"/>
      <c r="N450" s="30"/>
    </row>
    <row r="451" spans="1:14" ht="12.75">
      <c r="A451" s="30"/>
      <c r="B451" s="30"/>
      <c r="C451" s="30"/>
      <c r="D451" s="30"/>
      <c r="E451" s="30"/>
      <c r="F451" s="30"/>
      <c r="G451" s="30"/>
      <c r="H451" s="30"/>
      <c r="I451" s="30"/>
      <c r="J451" s="30"/>
      <c r="K451" s="30"/>
      <c r="L451" s="30"/>
      <c r="M451" s="30"/>
      <c r="N451" s="30"/>
    </row>
    <row r="452" spans="1:14" ht="12.75">
      <c r="A452" s="30"/>
      <c r="B452" s="30"/>
      <c r="C452" s="30"/>
      <c r="D452" s="30"/>
      <c r="E452" s="30"/>
      <c r="F452" s="30"/>
      <c r="G452" s="30"/>
      <c r="H452" s="30"/>
      <c r="I452" s="30"/>
      <c r="J452" s="30"/>
      <c r="K452" s="30"/>
      <c r="L452" s="30"/>
      <c r="M452" s="30"/>
      <c r="N452" s="30"/>
    </row>
    <row r="453" spans="1:14" ht="12.75">
      <c r="A453" s="30"/>
      <c r="B453" s="30"/>
      <c r="C453" s="30"/>
      <c r="D453" s="30"/>
      <c r="E453" s="30"/>
      <c r="F453" s="30"/>
      <c r="G453" s="30"/>
      <c r="H453" s="30"/>
      <c r="I453" s="30"/>
      <c r="J453" s="30"/>
      <c r="K453" s="30"/>
      <c r="L453" s="30"/>
      <c r="M453" s="30"/>
      <c r="N453" s="30"/>
    </row>
    <row r="454" spans="1:14" ht="12.75">
      <c r="A454" s="30"/>
      <c r="B454" s="30"/>
      <c r="C454" s="30"/>
      <c r="D454" s="30"/>
      <c r="E454" s="30"/>
      <c r="F454" s="30"/>
      <c r="G454" s="30"/>
      <c r="H454" s="30"/>
      <c r="I454" s="30"/>
      <c r="J454" s="30"/>
      <c r="K454" s="30"/>
      <c r="L454" s="30"/>
      <c r="M454" s="30"/>
      <c r="N454" s="30"/>
    </row>
    <row r="455" spans="1:14" ht="12.75">
      <c r="A455" s="30"/>
      <c r="B455" s="30"/>
      <c r="C455" s="30"/>
      <c r="D455" s="30"/>
      <c r="E455" s="30"/>
      <c r="F455" s="30"/>
      <c r="G455" s="30"/>
      <c r="H455" s="30"/>
      <c r="I455" s="30"/>
      <c r="J455" s="30"/>
      <c r="K455" s="30"/>
      <c r="L455" s="30"/>
      <c r="M455" s="30"/>
      <c r="N455" s="30"/>
    </row>
    <row r="456" spans="1:14" ht="12.75">
      <c r="A456" s="30"/>
      <c r="B456" s="30"/>
      <c r="C456" s="30"/>
      <c r="D456" s="30"/>
      <c r="E456" s="30"/>
      <c r="F456" s="30"/>
      <c r="G456" s="30"/>
      <c r="H456" s="30"/>
      <c r="I456" s="30"/>
      <c r="J456" s="30"/>
      <c r="K456" s="30"/>
      <c r="L456" s="30"/>
      <c r="M456" s="30"/>
      <c r="N456" s="30"/>
    </row>
    <row r="457" spans="1:14" ht="12.75">
      <c r="A457" s="30"/>
      <c r="B457" s="30"/>
      <c r="C457" s="30"/>
      <c r="D457" s="30"/>
      <c r="E457" s="30"/>
      <c r="F457" s="30"/>
      <c r="G457" s="30"/>
      <c r="H457" s="30"/>
      <c r="I457" s="30"/>
      <c r="J457" s="30"/>
      <c r="K457" s="30"/>
      <c r="L457" s="30"/>
      <c r="M457" s="30"/>
      <c r="N457" s="30"/>
    </row>
    <row r="458" spans="1:14" ht="12.75">
      <c r="A458" s="30"/>
      <c r="B458" s="30"/>
      <c r="C458" s="30"/>
      <c r="D458" s="30"/>
      <c r="E458" s="30"/>
      <c r="F458" s="30"/>
      <c r="G458" s="30"/>
      <c r="H458" s="30"/>
      <c r="I458" s="30"/>
      <c r="J458" s="30"/>
      <c r="K458" s="30"/>
      <c r="L458" s="30"/>
      <c r="M458" s="30"/>
      <c r="N458" s="30"/>
    </row>
    <row r="459" spans="1:14" ht="12.75">
      <c r="A459" s="30"/>
      <c r="B459" s="30"/>
      <c r="C459" s="30"/>
      <c r="D459" s="30"/>
      <c r="E459" s="30"/>
      <c r="F459" s="30"/>
      <c r="G459" s="30"/>
      <c r="H459" s="30"/>
      <c r="I459" s="30"/>
      <c r="J459" s="30"/>
      <c r="K459" s="30"/>
      <c r="L459" s="30"/>
      <c r="M459" s="30"/>
      <c r="N459" s="30"/>
    </row>
    <row r="460" spans="1:14" ht="12.75">
      <c r="A460" s="30"/>
      <c r="B460" s="30"/>
      <c r="C460" s="30"/>
      <c r="D460" s="30"/>
      <c r="E460" s="30"/>
      <c r="F460" s="30"/>
      <c r="G460" s="30"/>
      <c r="H460" s="30"/>
      <c r="I460" s="30"/>
      <c r="J460" s="30"/>
      <c r="K460" s="30"/>
      <c r="L460" s="30"/>
      <c r="M460" s="30"/>
      <c r="N460" s="30"/>
    </row>
    <row r="461" spans="1:14" ht="12.75">
      <c r="A461" s="30"/>
      <c r="B461" s="30"/>
      <c r="C461" s="30"/>
      <c r="D461" s="30"/>
      <c r="E461" s="30"/>
      <c r="F461" s="30"/>
      <c r="G461" s="30"/>
      <c r="H461" s="30"/>
      <c r="I461" s="30"/>
      <c r="J461" s="30"/>
      <c r="K461" s="30"/>
      <c r="L461" s="30"/>
      <c r="M461" s="30"/>
      <c r="N461" s="30"/>
    </row>
    <row r="462" spans="1:14" ht="12.75">
      <c r="A462" s="30"/>
      <c r="B462" s="30"/>
      <c r="C462" s="30"/>
      <c r="D462" s="30"/>
      <c r="E462" s="30"/>
      <c r="F462" s="30"/>
      <c r="G462" s="30"/>
      <c r="H462" s="30"/>
      <c r="I462" s="30"/>
      <c r="J462" s="30"/>
      <c r="K462" s="30"/>
      <c r="L462" s="30"/>
      <c r="M462" s="30"/>
      <c r="N462" s="30"/>
    </row>
    <row r="463" spans="1:14" ht="12.75">
      <c r="A463" s="30"/>
      <c r="B463" s="30"/>
      <c r="C463" s="30"/>
      <c r="D463" s="30"/>
      <c r="E463" s="30"/>
      <c r="F463" s="30"/>
      <c r="G463" s="30"/>
      <c r="H463" s="30"/>
      <c r="I463" s="30"/>
      <c r="J463" s="30"/>
      <c r="K463" s="30"/>
      <c r="L463" s="30"/>
      <c r="M463" s="30"/>
      <c r="N463" s="30"/>
    </row>
    <row r="464" spans="1:14" ht="12.75">
      <c r="A464" s="30"/>
      <c r="B464" s="30"/>
      <c r="C464" s="30"/>
      <c r="D464" s="30"/>
      <c r="E464" s="30"/>
      <c r="F464" s="30"/>
      <c r="G464" s="30"/>
      <c r="H464" s="30"/>
      <c r="I464" s="30"/>
      <c r="J464" s="30"/>
      <c r="K464" s="30"/>
      <c r="L464" s="30"/>
      <c r="M464" s="30"/>
      <c r="N464" s="30"/>
    </row>
    <row r="465" spans="1:14" ht="12.75">
      <c r="A465" s="30"/>
      <c r="B465" s="30"/>
      <c r="C465" s="30"/>
      <c r="D465" s="30"/>
      <c r="E465" s="30"/>
      <c r="F465" s="30"/>
      <c r="G465" s="30"/>
      <c r="H465" s="30"/>
      <c r="I465" s="30"/>
      <c r="J465" s="30"/>
      <c r="K465" s="30"/>
      <c r="L465" s="30"/>
      <c r="M465" s="30"/>
      <c r="N465" s="30"/>
    </row>
    <row r="466" spans="1:14" ht="12.75">
      <c r="A466" s="30"/>
      <c r="B466" s="30"/>
      <c r="C466" s="30"/>
      <c r="D466" s="30"/>
      <c r="E466" s="30"/>
      <c r="F466" s="30"/>
      <c r="G466" s="30"/>
      <c r="H466" s="30"/>
      <c r="I466" s="30"/>
      <c r="J466" s="30"/>
      <c r="K466" s="30"/>
      <c r="L466" s="30"/>
      <c r="M466" s="30"/>
      <c r="N466" s="30"/>
    </row>
    <row r="467" spans="1:14" ht="12.75">
      <c r="A467" s="30"/>
      <c r="B467" s="30"/>
      <c r="C467" s="30"/>
      <c r="D467" s="30"/>
      <c r="E467" s="30"/>
      <c r="F467" s="30"/>
      <c r="G467" s="30"/>
      <c r="H467" s="30"/>
      <c r="I467" s="30"/>
      <c r="J467" s="30"/>
      <c r="K467" s="30"/>
      <c r="L467" s="30"/>
      <c r="M467" s="30"/>
      <c r="N467" s="30"/>
    </row>
    <row r="468" spans="1:14" ht="12.75">
      <c r="A468" s="30"/>
      <c r="B468" s="30"/>
      <c r="C468" s="30"/>
      <c r="D468" s="30"/>
      <c r="E468" s="30"/>
      <c r="F468" s="30"/>
      <c r="G468" s="30"/>
      <c r="H468" s="30"/>
      <c r="I468" s="30"/>
      <c r="J468" s="30"/>
      <c r="K468" s="30"/>
      <c r="L468" s="30"/>
      <c r="M468" s="30"/>
      <c r="N468" s="30"/>
    </row>
    <row r="469" spans="1:14" ht="12.75">
      <c r="A469" s="30"/>
      <c r="B469" s="30"/>
      <c r="C469" s="30"/>
      <c r="D469" s="30"/>
      <c r="E469" s="30"/>
      <c r="F469" s="30"/>
      <c r="G469" s="30"/>
      <c r="H469" s="30"/>
      <c r="I469" s="30"/>
      <c r="J469" s="30"/>
      <c r="K469" s="30"/>
      <c r="L469" s="30"/>
      <c r="M469" s="30"/>
      <c r="N469" s="30"/>
    </row>
    <row r="470" spans="1:14" ht="12.75">
      <c r="A470" s="30"/>
      <c r="B470" s="30"/>
      <c r="C470" s="30"/>
      <c r="D470" s="30"/>
      <c r="E470" s="30"/>
      <c r="F470" s="30"/>
      <c r="G470" s="30"/>
      <c r="H470" s="30"/>
      <c r="I470" s="30"/>
      <c r="J470" s="30"/>
      <c r="K470" s="30"/>
      <c r="L470" s="30"/>
      <c r="M470" s="30"/>
      <c r="N470" s="30"/>
    </row>
    <row r="471" spans="1:14" ht="12.75">
      <c r="A471" s="30"/>
      <c r="B471" s="30"/>
      <c r="C471" s="30"/>
      <c r="D471" s="30"/>
      <c r="E471" s="30"/>
      <c r="F471" s="30"/>
      <c r="G471" s="30"/>
      <c r="H471" s="30"/>
      <c r="I471" s="30"/>
      <c r="J471" s="30"/>
      <c r="K471" s="30"/>
      <c r="L471" s="30"/>
      <c r="M471" s="30"/>
      <c r="N471" s="30"/>
    </row>
    <row r="472" spans="1:14" ht="12.75">
      <c r="A472" s="30"/>
      <c r="B472" s="30"/>
      <c r="C472" s="30"/>
      <c r="D472" s="30"/>
      <c r="E472" s="30"/>
      <c r="F472" s="30"/>
      <c r="G472" s="30"/>
      <c r="H472" s="30"/>
      <c r="I472" s="30"/>
      <c r="J472" s="30"/>
      <c r="K472" s="30"/>
      <c r="L472" s="30"/>
      <c r="M472" s="30"/>
      <c r="N472" s="30"/>
    </row>
    <row r="473" spans="1:14" ht="12.75">
      <c r="A473" s="30"/>
      <c r="B473" s="30"/>
      <c r="C473" s="30"/>
      <c r="D473" s="30"/>
      <c r="E473" s="30"/>
      <c r="F473" s="30"/>
      <c r="G473" s="30"/>
      <c r="H473" s="30"/>
      <c r="I473" s="30"/>
      <c r="J473" s="30"/>
      <c r="K473" s="30"/>
      <c r="L473" s="30"/>
      <c r="M473" s="30"/>
      <c r="N473" s="30"/>
    </row>
    <row r="474" spans="1:14" ht="12.75">
      <c r="A474" s="30"/>
      <c r="B474" s="30"/>
      <c r="C474" s="30"/>
      <c r="D474" s="30"/>
      <c r="E474" s="30"/>
      <c r="F474" s="30"/>
      <c r="G474" s="30"/>
      <c r="H474" s="30"/>
      <c r="I474" s="30"/>
      <c r="J474" s="30"/>
      <c r="K474" s="30"/>
      <c r="L474" s="30"/>
      <c r="M474" s="30"/>
      <c r="N474" s="30"/>
    </row>
    <row r="475" spans="1:14" ht="12.75">
      <c r="A475" s="30"/>
      <c r="B475" s="30"/>
      <c r="C475" s="30"/>
      <c r="D475" s="30"/>
      <c r="E475" s="30"/>
      <c r="F475" s="30"/>
      <c r="G475" s="30"/>
      <c r="H475" s="30"/>
      <c r="I475" s="30"/>
      <c r="J475" s="30"/>
      <c r="K475" s="30"/>
      <c r="L475" s="30"/>
      <c r="M475" s="30"/>
      <c r="N475" s="30"/>
    </row>
    <row r="476" spans="1:14" ht="12.75">
      <c r="A476" s="30"/>
      <c r="B476" s="30"/>
      <c r="C476" s="30"/>
      <c r="D476" s="30"/>
      <c r="E476" s="30"/>
      <c r="F476" s="30"/>
      <c r="G476" s="30"/>
      <c r="H476" s="30"/>
      <c r="I476" s="30"/>
      <c r="J476" s="30"/>
      <c r="K476" s="30"/>
      <c r="L476" s="30"/>
      <c r="M476" s="30"/>
      <c r="N476" s="30"/>
    </row>
    <row r="477" spans="1:14" ht="12.75">
      <c r="A477" s="30"/>
      <c r="B477" s="30"/>
      <c r="C477" s="30"/>
      <c r="D477" s="30"/>
      <c r="E477" s="30"/>
      <c r="F477" s="30"/>
      <c r="G477" s="30"/>
      <c r="H477" s="30"/>
      <c r="I477" s="30"/>
      <c r="J477" s="30"/>
      <c r="K477" s="30"/>
      <c r="L477" s="30"/>
      <c r="M477" s="30"/>
      <c r="N477" s="30"/>
    </row>
    <row r="478" spans="1:14" ht="12.75">
      <c r="A478" s="30"/>
      <c r="B478" s="30"/>
      <c r="C478" s="30"/>
      <c r="D478" s="30"/>
      <c r="E478" s="30"/>
      <c r="F478" s="30"/>
      <c r="G478" s="30"/>
      <c r="H478" s="30"/>
      <c r="I478" s="30"/>
      <c r="J478" s="30"/>
      <c r="K478" s="30"/>
      <c r="L478" s="30"/>
      <c r="M478" s="30"/>
      <c r="N478" s="30"/>
    </row>
    <row r="479" spans="1:14" ht="12.75">
      <c r="A479" s="30"/>
      <c r="B479" s="30"/>
      <c r="C479" s="30"/>
      <c r="D479" s="30"/>
      <c r="E479" s="30"/>
      <c r="F479" s="30"/>
      <c r="G479" s="30"/>
      <c r="H479" s="30"/>
      <c r="I479" s="30"/>
      <c r="J479" s="30"/>
      <c r="K479" s="30"/>
      <c r="L479" s="30"/>
      <c r="M479" s="30"/>
      <c r="N479" s="30"/>
    </row>
    <row r="480" spans="1:14" ht="12.75">
      <c r="A480" s="30"/>
      <c r="B480" s="30"/>
      <c r="C480" s="30"/>
      <c r="D480" s="30"/>
      <c r="E480" s="30"/>
      <c r="F480" s="30"/>
      <c r="G480" s="30"/>
      <c r="H480" s="30"/>
      <c r="I480" s="30"/>
      <c r="J480" s="30"/>
      <c r="K480" s="30"/>
      <c r="L480" s="30"/>
      <c r="M480" s="30"/>
      <c r="N480" s="30"/>
    </row>
    <row r="481" spans="1:14" ht="12.75">
      <c r="A481" s="30"/>
      <c r="B481" s="30"/>
      <c r="C481" s="30"/>
      <c r="D481" s="30"/>
      <c r="E481" s="30"/>
      <c r="F481" s="30"/>
      <c r="G481" s="30"/>
      <c r="H481" s="30"/>
      <c r="I481" s="30"/>
      <c r="J481" s="30"/>
      <c r="K481" s="30"/>
      <c r="L481" s="30"/>
      <c r="M481" s="30"/>
      <c r="N481" s="30"/>
    </row>
    <row r="482" spans="1:14" ht="12.75">
      <c r="A482" s="30"/>
      <c r="B482" s="30"/>
      <c r="C482" s="30"/>
      <c r="D482" s="30"/>
      <c r="E482" s="30"/>
      <c r="F482" s="30"/>
      <c r="G482" s="30"/>
      <c r="H482" s="30"/>
      <c r="I482" s="30"/>
      <c r="J482" s="30"/>
      <c r="K482" s="30"/>
      <c r="L482" s="30"/>
      <c r="M482" s="30"/>
      <c r="N482" s="30"/>
    </row>
    <row r="483" spans="1:14" ht="12.75">
      <c r="A483" s="30"/>
      <c r="B483" s="30"/>
      <c r="C483" s="30"/>
      <c r="D483" s="30"/>
      <c r="E483" s="30"/>
      <c r="F483" s="30"/>
      <c r="G483" s="30"/>
      <c r="H483" s="30"/>
      <c r="I483" s="30"/>
      <c r="J483" s="30"/>
      <c r="K483" s="30"/>
      <c r="L483" s="30"/>
      <c r="M483" s="30"/>
      <c r="N483" s="30"/>
    </row>
    <row r="484" spans="1:14" ht="12.75">
      <c r="A484" s="30"/>
      <c r="B484" s="30"/>
      <c r="C484" s="30"/>
      <c r="D484" s="30"/>
      <c r="E484" s="30"/>
      <c r="F484" s="30"/>
      <c r="G484" s="30"/>
      <c r="H484" s="30"/>
      <c r="I484" s="30"/>
      <c r="J484" s="30"/>
      <c r="K484" s="30"/>
      <c r="L484" s="30"/>
      <c r="M484" s="30"/>
      <c r="N484" s="30"/>
    </row>
    <row r="485" spans="1:14" ht="12.75">
      <c r="A485" s="30"/>
      <c r="B485" s="30"/>
      <c r="C485" s="30"/>
      <c r="D485" s="30"/>
      <c r="E485" s="30"/>
      <c r="F485" s="30"/>
      <c r="G485" s="30"/>
      <c r="H485" s="30"/>
      <c r="I485" s="30"/>
      <c r="J485" s="30"/>
      <c r="K485" s="30"/>
      <c r="L485" s="30"/>
      <c r="M485" s="30"/>
      <c r="N485" s="30"/>
    </row>
    <row r="486" spans="1:14" ht="12.75">
      <c r="A486" s="30"/>
      <c r="B486" s="30"/>
      <c r="C486" s="30"/>
      <c r="D486" s="30"/>
      <c r="E486" s="30"/>
      <c r="F486" s="30"/>
      <c r="G486" s="30"/>
      <c r="H486" s="30"/>
      <c r="I486" s="30"/>
      <c r="J486" s="30"/>
      <c r="K486" s="30"/>
      <c r="L486" s="30"/>
      <c r="M486" s="30"/>
      <c r="N486" s="30"/>
    </row>
    <row r="487" spans="1:14" ht="12.75">
      <c r="A487" s="30"/>
      <c r="B487" s="30"/>
      <c r="C487" s="30"/>
      <c r="D487" s="30"/>
      <c r="E487" s="30"/>
      <c r="F487" s="30"/>
      <c r="G487" s="30"/>
      <c r="H487" s="30"/>
      <c r="I487" s="30"/>
      <c r="J487" s="30"/>
      <c r="K487" s="30"/>
      <c r="L487" s="30"/>
      <c r="M487" s="30"/>
      <c r="N487" s="30"/>
    </row>
    <row r="488" spans="1:14" ht="12.75">
      <c r="A488" s="30"/>
      <c r="B488" s="30"/>
      <c r="C488" s="30"/>
      <c r="D488" s="30"/>
      <c r="E488" s="30"/>
      <c r="F488" s="30"/>
      <c r="G488" s="30"/>
      <c r="H488" s="30"/>
      <c r="I488" s="30"/>
      <c r="J488" s="30"/>
      <c r="K488" s="30"/>
      <c r="L488" s="30"/>
      <c r="M488" s="30"/>
      <c r="N488" s="30"/>
    </row>
    <row r="489" spans="1:14" ht="12.75">
      <c r="A489" s="30"/>
      <c r="B489" s="30"/>
      <c r="C489" s="30"/>
      <c r="D489" s="30"/>
      <c r="E489" s="30"/>
      <c r="F489" s="30"/>
      <c r="G489" s="30"/>
      <c r="H489" s="30"/>
      <c r="I489" s="30"/>
      <c r="J489" s="30"/>
      <c r="K489" s="30"/>
      <c r="L489" s="30"/>
      <c r="M489" s="30"/>
      <c r="N489" s="30"/>
    </row>
    <row r="490" spans="1:14" ht="12.75">
      <c r="A490" s="30"/>
      <c r="B490" s="30"/>
      <c r="C490" s="30"/>
      <c r="D490" s="30"/>
      <c r="E490" s="30"/>
      <c r="F490" s="30"/>
      <c r="G490" s="30"/>
      <c r="H490" s="30"/>
      <c r="I490" s="30"/>
      <c r="J490" s="30"/>
      <c r="K490" s="30"/>
      <c r="L490" s="30"/>
      <c r="M490" s="30"/>
      <c r="N490" s="30"/>
    </row>
    <row r="491" spans="1:14" ht="12.75">
      <c r="A491" s="30"/>
      <c r="B491" s="30"/>
      <c r="C491" s="30"/>
      <c r="D491" s="30"/>
      <c r="E491" s="30"/>
      <c r="F491" s="30"/>
      <c r="G491" s="30"/>
      <c r="H491" s="30"/>
      <c r="I491" s="30"/>
      <c r="J491" s="30"/>
      <c r="K491" s="30"/>
      <c r="L491" s="30"/>
      <c r="M491" s="30"/>
      <c r="N491" s="30"/>
    </row>
    <row r="492" spans="1:14" ht="12.75">
      <c r="A492" s="30"/>
      <c r="B492" s="30"/>
      <c r="C492" s="30"/>
      <c r="D492" s="30"/>
      <c r="E492" s="30"/>
      <c r="F492" s="30"/>
      <c r="G492" s="30"/>
      <c r="H492" s="30"/>
      <c r="I492" s="30"/>
      <c r="J492" s="30"/>
      <c r="K492" s="30"/>
      <c r="L492" s="30"/>
      <c r="M492" s="30"/>
      <c r="N492" s="30"/>
    </row>
    <row r="493" spans="1:14" ht="12.75">
      <c r="A493" s="30"/>
      <c r="B493" s="30"/>
      <c r="C493" s="30"/>
      <c r="D493" s="30"/>
      <c r="E493" s="30"/>
      <c r="F493" s="30"/>
      <c r="G493" s="30"/>
      <c r="H493" s="30"/>
      <c r="I493" s="30"/>
      <c r="J493" s="30"/>
      <c r="K493" s="30"/>
      <c r="L493" s="30"/>
      <c r="M493" s="30"/>
      <c r="N493" s="30"/>
    </row>
    <row r="494" spans="1:14" ht="12.75">
      <c r="A494" s="30"/>
      <c r="B494" s="30"/>
      <c r="C494" s="30"/>
      <c r="D494" s="30"/>
      <c r="E494" s="30"/>
      <c r="F494" s="30"/>
      <c r="G494" s="30"/>
      <c r="H494" s="30"/>
      <c r="I494" s="30"/>
      <c r="J494" s="30"/>
      <c r="K494" s="30"/>
      <c r="L494" s="30"/>
      <c r="M494" s="30"/>
      <c r="N494" s="30"/>
    </row>
    <row r="495" spans="1:14" ht="12.75">
      <c r="A495" s="30"/>
      <c r="B495" s="30"/>
      <c r="C495" s="30"/>
      <c r="D495" s="30"/>
      <c r="E495" s="30"/>
      <c r="F495" s="30"/>
      <c r="G495" s="30"/>
      <c r="H495" s="30"/>
      <c r="I495" s="30"/>
      <c r="J495" s="30"/>
      <c r="K495" s="30"/>
      <c r="L495" s="30"/>
      <c r="M495" s="30"/>
      <c r="N495" s="30"/>
    </row>
    <row r="496" spans="1:14" ht="12.75">
      <c r="A496" s="30"/>
      <c r="B496" s="30"/>
      <c r="C496" s="30"/>
      <c r="D496" s="30"/>
      <c r="E496" s="30"/>
      <c r="F496" s="30"/>
      <c r="G496" s="30"/>
      <c r="H496" s="30"/>
      <c r="I496" s="30"/>
      <c r="J496" s="30"/>
      <c r="K496" s="30"/>
      <c r="L496" s="30"/>
      <c r="M496" s="30"/>
      <c r="N496" s="30"/>
    </row>
    <row r="497" spans="1:14" ht="12.75">
      <c r="A497" s="30"/>
      <c r="B497" s="30"/>
      <c r="C497" s="30"/>
      <c r="D497" s="30"/>
      <c r="E497" s="30"/>
      <c r="F497" s="30"/>
      <c r="G497" s="30"/>
      <c r="H497" s="30"/>
      <c r="I497" s="30"/>
      <c r="J497" s="30"/>
      <c r="K497" s="30"/>
      <c r="L497" s="30"/>
      <c r="M497" s="30"/>
      <c r="N497" s="30"/>
    </row>
    <row r="498" spans="1:14" ht="12.75">
      <c r="A498" s="30"/>
      <c r="B498" s="30"/>
      <c r="C498" s="30"/>
      <c r="D498" s="30"/>
      <c r="E498" s="30"/>
      <c r="F498" s="30"/>
      <c r="G498" s="30"/>
      <c r="H498" s="30"/>
      <c r="I498" s="30"/>
      <c r="J498" s="30"/>
      <c r="K498" s="30"/>
      <c r="L498" s="30"/>
      <c r="M498" s="30"/>
      <c r="N498" s="30"/>
    </row>
    <row r="499" spans="1:14" ht="12.75">
      <c r="A499" s="30"/>
      <c r="B499" s="30"/>
      <c r="C499" s="30"/>
      <c r="D499" s="30"/>
      <c r="E499" s="30"/>
      <c r="F499" s="30"/>
      <c r="G499" s="30"/>
      <c r="H499" s="30"/>
      <c r="I499" s="30"/>
      <c r="J499" s="30"/>
      <c r="K499" s="30"/>
      <c r="L499" s="30"/>
      <c r="M499" s="30"/>
      <c r="N499" s="30"/>
    </row>
    <row r="500" spans="1:14" ht="12.75">
      <c r="A500" s="30"/>
      <c r="B500" s="30"/>
      <c r="C500" s="30"/>
      <c r="D500" s="30"/>
      <c r="E500" s="30"/>
      <c r="F500" s="30"/>
      <c r="G500" s="30"/>
      <c r="H500" s="30"/>
      <c r="I500" s="30"/>
      <c r="J500" s="30"/>
      <c r="K500" s="30"/>
      <c r="L500" s="30"/>
      <c r="M500" s="30"/>
      <c r="N500" s="30"/>
    </row>
    <row r="501" spans="1:14" ht="12.75">
      <c r="A501" s="30"/>
      <c r="B501" s="30"/>
      <c r="C501" s="30"/>
      <c r="D501" s="30"/>
      <c r="E501" s="30"/>
      <c r="F501" s="30"/>
      <c r="G501" s="30"/>
      <c r="H501" s="30"/>
      <c r="I501" s="30"/>
      <c r="J501" s="30"/>
      <c r="K501" s="30"/>
      <c r="L501" s="30"/>
      <c r="M501" s="30"/>
      <c r="N501" s="30"/>
    </row>
    <row r="502" spans="1:14" ht="12.75">
      <c r="A502" s="30"/>
      <c r="B502" s="30"/>
      <c r="C502" s="30"/>
      <c r="D502" s="30"/>
      <c r="E502" s="30"/>
      <c r="F502" s="30"/>
      <c r="G502" s="30"/>
      <c r="H502" s="30"/>
      <c r="I502" s="30"/>
      <c r="J502" s="30"/>
      <c r="K502" s="30"/>
      <c r="L502" s="30"/>
      <c r="M502" s="30"/>
      <c r="N502" s="30"/>
    </row>
    <row r="503" spans="1:14" ht="12.75">
      <c r="A503" s="30"/>
      <c r="B503" s="30"/>
      <c r="C503" s="30"/>
      <c r="D503" s="30"/>
      <c r="E503" s="30"/>
      <c r="F503" s="30"/>
      <c r="G503" s="30"/>
      <c r="H503" s="30"/>
      <c r="I503" s="30"/>
      <c r="J503" s="30"/>
      <c r="K503" s="30"/>
      <c r="L503" s="30"/>
      <c r="M503" s="30"/>
      <c r="N503" s="30"/>
    </row>
    <row r="504" spans="1:14" ht="12.75">
      <c r="A504" s="30"/>
      <c r="B504" s="30"/>
      <c r="C504" s="30"/>
      <c r="D504" s="30"/>
      <c r="E504" s="30"/>
      <c r="F504" s="30"/>
      <c r="G504" s="30"/>
      <c r="H504" s="30"/>
      <c r="I504" s="30"/>
      <c r="J504" s="30"/>
      <c r="K504" s="30"/>
      <c r="L504" s="30"/>
      <c r="M504" s="30"/>
      <c r="N504" s="30"/>
    </row>
    <row r="505" spans="1:14" ht="12.75">
      <c r="A505" s="30"/>
      <c r="B505" s="30"/>
      <c r="C505" s="30"/>
      <c r="D505" s="30"/>
      <c r="E505" s="30"/>
      <c r="F505" s="30"/>
      <c r="G505" s="30"/>
      <c r="H505" s="30"/>
      <c r="I505" s="30"/>
      <c r="J505" s="30"/>
      <c r="K505" s="30"/>
      <c r="L505" s="30"/>
      <c r="M505" s="30"/>
      <c r="N505" s="30"/>
    </row>
    <row r="506" spans="1:14" ht="12.75">
      <c r="A506" s="30"/>
      <c r="B506" s="30"/>
      <c r="C506" s="30"/>
      <c r="D506" s="30"/>
      <c r="E506" s="30"/>
      <c r="F506" s="30"/>
      <c r="G506" s="30"/>
      <c r="H506" s="30"/>
      <c r="I506" s="30"/>
      <c r="J506" s="30"/>
      <c r="K506" s="30"/>
      <c r="L506" s="30"/>
      <c r="M506" s="30"/>
      <c r="N506" s="30"/>
    </row>
    <row r="507" spans="1:14" ht="12.75">
      <c r="A507" s="30"/>
      <c r="B507" s="30"/>
      <c r="C507" s="30"/>
      <c r="D507" s="30"/>
      <c r="E507" s="30"/>
      <c r="F507" s="30"/>
      <c r="G507" s="30"/>
      <c r="H507" s="30"/>
      <c r="I507" s="30"/>
      <c r="J507" s="30"/>
      <c r="K507" s="30"/>
      <c r="L507" s="30"/>
      <c r="M507" s="30"/>
      <c r="N507" s="30"/>
    </row>
    <row r="508" spans="1:14" ht="12.75">
      <c r="A508" s="30"/>
      <c r="B508" s="30"/>
      <c r="C508" s="30"/>
      <c r="D508" s="30"/>
      <c r="E508" s="30"/>
      <c r="F508" s="30"/>
      <c r="G508" s="30"/>
      <c r="H508" s="30"/>
      <c r="I508" s="30"/>
      <c r="J508" s="30"/>
      <c r="K508" s="30"/>
      <c r="L508" s="30"/>
      <c r="M508" s="30"/>
      <c r="N508" s="30"/>
    </row>
    <row r="509" spans="1:14" ht="12.75">
      <c r="A509" s="30"/>
      <c r="B509" s="30"/>
      <c r="C509" s="30"/>
      <c r="D509" s="30"/>
      <c r="E509" s="30"/>
      <c r="F509" s="30"/>
      <c r="G509" s="30"/>
      <c r="H509" s="30"/>
      <c r="I509" s="30"/>
      <c r="J509" s="30"/>
      <c r="K509" s="30"/>
      <c r="L509" s="30"/>
      <c r="M509" s="30"/>
      <c r="N509" s="30"/>
    </row>
    <row r="510" spans="1:14" ht="12.75">
      <c r="A510" s="30"/>
      <c r="B510" s="30"/>
      <c r="C510" s="30"/>
      <c r="D510" s="30"/>
      <c r="E510" s="30"/>
      <c r="F510" s="30"/>
      <c r="G510" s="30"/>
      <c r="H510" s="30"/>
      <c r="I510" s="30"/>
      <c r="J510" s="30"/>
      <c r="K510" s="30"/>
      <c r="L510" s="30"/>
      <c r="M510" s="30"/>
      <c r="N510" s="30"/>
    </row>
    <row r="511" spans="1:14" ht="12.75">
      <c r="A511" s="30"/>
      <c r="B511" s="30"/>
      <c r="C511" s="30"/>
      <c r="D511" s="30"/>
      <c r="E511" s="30"/>
      <c r="F511" s="30"/>
      <c r="G511" s="30"/>
      <c r="H511" s="30"/>
      <c r="I511" s="30"/>
      <c r="J511" s="30"/>
      <c r="K511" s="30"/>
      <c r="L511" s="30"/>
      <c r="M511" s="30"/>
      <c r="N511" s="30"/>
    </row>
    <row r="512" spans="1:14" ht="12.75">
      <c r="A512" s="30"/>
      <c r="B512" s="30"/>
      <c r="C512" s="30"/>
      <c r="D512" s="30"/>
      <c r="E512" s="30"/>
      <c r="F512" s="30"/>
      <c r="G512" s="30"/>
      <c r="H512" s="30"/>
      <c r="I512" s="30"/>
      <c r="J512" s="30"/>
      <c r="K512" s="30"/>
      <c r="L512" s="30"/>
      <c r="M512" s="30"/>
      <c r="N512" s="30"/>
    </row>
    <row r="513" spans="1:14" ht="12.75">
      <c r="A513" s="30"/>
      <c r="B513" s="30"/>
      <c r="C513" s="30"/>
      <c r="D513" s="30"/>
      <c r="E513" s="30"/>
      <c r="F513" s="30"/>
      <c r="G513" s="30"/>
      <c r="H513" s="30"/>
      <c r="I513" s="30"/>
      <c r="J513" s="30"/>
      <c r="K513" s="30"/>
      <c r="L513" s="30"/>
      <c r="M513" s="30"/>
      <c r="N513" s="30"/>
    </row>
    <row r="514" spans="1:14" ht="12.75">
      <c r="A514" s="30"/>
      <c r="B514" s="30"/>
      <c r="C514" s="30"/>
      <c r="D514" s="30"/>
      <c r="E514" s="30"/>
      <c r="F514" s="30"/>
      <c r="G514" s="30"/>
      <c r="H514" s="30"/>
      <c r="I514" s="30"/>
      <c r="J514" s="30"/>
      <c r="K514" s="30"/>
      <c r="L514" s="30"/>
      <c r="M514" s="30"/>
      <c r="N514" s="30"/>
    </row>
    <row r="515" spans="1:14" ht="12.75">
      <c r="A515" s="30"/>
      <c r="B515" s="30"/>
      <c r="C515" s="30"/>
      <c r="D515" s="30"/>
      <c r="E515" s="30"/>
      <c r="F515" s="30"/>
      <c r="G515" s="30"/>
      <c r="H515" s="30"/>
      <c r="I515" s="30"/>
      <c r="J515" s="30"/>
      <c r="K515" s="30"/>
      <c r="L515" s="30"/>
      <c r="M515" s="30"/>
      <c r="N515" s="30"/>
    </row>
    <row r="516" spans="1:14" ht="12.75">
      <c r="A516" s="30"/>
      <c r="B516" s="30"/>
      <c r="C516" s="30"/>
      <c r="D516" s="30"/>
      <c r="E516" s="30"/>
      <c r="F516" s="30"/>
      <c r="G516" s="30"/>
      <c r="H516" s="30"/>
      <c r="I516" s="30"/>
      <c r="J516" s="30"/>
      <c r="K516" s="30"/>
      <c r="L516" s="30"/>
      <c r="M516" s="30"/>
      <c r="N516" s="30"/>
    </row>
    <row r="517" spans="1:14" ht="12.75">
      <c r="A517" s="30"/>
      <c r="B517" s="30"/>
      <c r="C517" s="30"/>
      <c r="D517" s="30"/>
      <c r="E517" s="30"/>
      <c r="F517" s="30"/>
      <c r="G517" s="30"/>
      <c r="H517" s="30"/>
      <c r="I517" s="30"/>
      <c r="J517" s="30"/>
      <c r="K517" s="30"/>
      <c r="L517" s="30"/>
      <c r="M517" s="30"/>
      <c r="N517" s="30"/>
    </row>
    <row r="518" spans="1:14" ht="12.75">
      <c r="A518" s="30"/>
      <c r="B518" s="30"/>
      <c r="C518" s="30"/>
      <c r="D518" s="30"/>
      <c r="E518" s="30"/>
      <c r="F518" s="30"/>
      <c r="G518" s="30"/>
      <c r="H518" s="30"/>
      <c r="I518" s="30"/>
      <c r="J518" s="30"/>
      <c r="K518" s="30"/>
      <c r="L518" s="30"/>
      <c r="M518" s="30"/>
      <c r="N518" s="30"/>
    </row>
    <row r="519" spans="1:14" ht="12.75">
      <c r="A519" s="30"/>
      <c r="B519" s="30"/>
      <c r="C519" s="30"/>
      <c r="D519" s="30"/>
      <c r="E519" s="30"/>
      <c r="F519" s="30"/>
      <c r="G519" s="30"/>
      <c r="H519" s="30"/>
      <c r="I519" s="30"/>
      <c r="J519" s="30"/>
      <c r="K519" s="30"/>
      <c r="L519" s="30"/>
      <c r="M519" s="30"/>
      <c r="N519" s="30"/>
    </row>
    <row r="520" spans="1:14" ht="12.75">
      <c r="A520" s="30"/>
      <c r="B520" s="30"/>
      <c r="C520" s="30"/>
      <c r="D520" s="30"/>
      <c r="E520" s="30"/>
      <c r="F520" s="30"/>
      <c r="G520" s="30"/>
      <c r="H520" s="30"/>
      <c r="I520" s="30"/>
      <c r="J520" s="30"/>
      <c r="K520" s="30"/>
      <c r="L520" s="30"/>
      <c r="M520" s="30"/>
      <c r="N520" s="30"/>
    </row>
    <row r="521" spans="1:14" ht="12.75">
      <c r="A521" s="30"/>
      <c r="B521" s="30"/>
      <c r="C521" s="30"/>
      <c r="D521" s="30"/>
      <c r="E521" s="30"/>
      <c r="F521" s="30"/>
      <c r="G521" s="30"/>
      <c r="H521" s="30"/>
      <c r="I521" s="30"/>
      <c r="J521" s="30"/>
      <c r="K521" s="30"/>
      <c r="L521" s="30"/>
      <c r="M521" s="30"/>
      <c r="N521" s="30"/>
    </row>
    <row r="522" spans="1:14" ht="12.75">
      <c r="A522" s="30"/>
      <c r="B522" s="30"/>
      <c r="C522" s="30"/>
      <c r="D522" s="30"/>
      <c r="E522" s="30"/>
      <c r="F522" s="30"/>
      <c r="G522" s="30"/>
      <c r="H522" s="30"/>
      <c r="I522" s="30"/>
      <c r="J522" s="30"/>
      <c r="K522" s="30"/>
      <c r="L522" s="30"/>
      <c r="M522" s="30"/>
      <c r="N522" s="30"/>
    </row>
    <row r="523" spans="1:14" ht="12.75">
      <c r="A523" s="30"/>
      <c r="B523" s="30"/>
      <c r="C523" s="30"/>
      <c r="D523" s="30"/>
      <c r="E523" s="30"/>
      <c r="F523" s="30"/>
      <c r="G523" s="30"/>
      <c r="H523" s="30"/>
      <c r="I523" s="30"/>
      <c r="J523" s="30"/>
      <c r="K523" s="30"/>
      <c r="L523" s="30"/>
      <c r="M523" s="30"/>
      <c r="N523" s="30"/>
    </row>
    <row r="524" spans="1:14" ht="12.75">
      <c r="A524" s="30"/>
      <c r="B524" s="30"/>
      <c r="C524" s="30"/>
      <c r="D524" s="30"/>
      <c r="E524" s="30"/>
      <c r="F524" s="30"/>
      <c r="G524" s="30"/>
      <c r="H524" s="30"/>
      <c r="I524" s="30"/>
      <c r="J524" s="30"/>
      <c r="K524" s="30"/>
      <c r="L524" s="30"/>
      <c r="M524" s="30"/>
      <c r="N524" s="30"/>
    </row>
    <row r="525" spans="1:14" ht="12.75">
      <c r="A525" s="30"/>
      <c r="B525" s="30"/>
      <c r="C525" s="30"/>
      <c r="D525" s="30"/>
      <c r="E525" s="30"/>
      <c r="F525" s="30"/>
      <c r="G525" s="30"/>
      <c r="H525" s="30"/>
      <c r="I525" s="30"/>
      <c r="J525" s="30"/>
      <c r="K525" s="30"/>
      <c r="L525" s="30"/>
      <c r="M525" s="30"/>
      <c r="N525" s="30"/>
    </row>
    <row r="526" spans="1:14" ht="12.75">
      <c r="A526" s="30"/>
      <c r="B526" s="30"/>
      <c r="C526" s="30"/>
      <c r="D526" s="30"/>
      <c r="E526" s="30"/>
      <c r="F526" s="30"/>
      <c r="G526" s="30"/>
      <c r="H526" s="30"/>
      <c r="I526" s="30"/>
      <c r="J526" s="30"/>
      <c r="K526" s="30"/>
      <c r="L526" s="30"/>
      <c r="M526" s="30"/>
      <c r="N526" s="30"/>
    </row>
    <row r="527" spans="1:14" ht="12.75">
      <c r="A527" s="30"/>
      <c r="B527" s="30"/>
      <c r="C527" s="30"/>
      <c r="D527" s="30"/>
      <c r="E527" s="30"/>
      <c r="F527" s="30"/>
      <c r="G527" s="30"/>
      <c r="H527" s="30"/>
      <c r="I527" s="30"/>
      <c r="J527" s="30"/>
      <c r="K527" s="30"/>
      <c r="L527" s="30"/>
      <c r="M527" s="30"/>
      <c r="N527" s="30"/>
    </row>
    <row r="528" spans="1:14" ht="12.75">
      <c r="A528" s="30"/>
      <c r="B528" s="30"/>
      <c r="C528" s="30"/>
      <c r="D528" s="30"/>
      <c r="E528" s="30"/>
      <c r="F528" s="30"/>
      <c r="G528" s="30"/>
      <c r="H528" s="30"/>
      <c r="I528" s="30"/>
      <c r="J528" s="30"/>
      <c r="K528" s="30"/>
      <c r="L528" s="30"/>
      <c r="M528" s="30"/>
      <c r="N528" s="30"/>
    </row>
    <row r="529" spans="1:14" ht="12.75">
      <c r="A529" s="30"/>
      <c r="B529" s="30"/>
      <c r="C529" s="30"/>
      <c r="D529" s="30"/>
      <c r="E529" s="30"/>
      <c r="F529" s="30"/>
      <c r="G529" s="30"/>
      <c r="H529" s="30"/>
      <c r="I529" s="30"/>
      <c r="J529" s="30"/>
      <c r="K529" s="30"/>
      <c r="L529" s="30"/>
      <c r="M529" s="30"/>
      <c r="N529" s="30"/>
    </row>
    <row r="530" spans="1:14" ht="12.75">
      <c r="A530" s="30"/>
      <c r="B530" s="30"/>
      <c r="C530" s="30"/>
      <c r="D530" s="30"/>
      <c r="E530" s="30"/>
      <c r="F530" s="30"/>
      <c r="G530" s="30"/>
      <c r="H530" s="30"/>
      <c r="I530" s="30"/>
      <c r="J530" s="30"/>
      <c r="K530" s="30"/>
      <c r="L530" s="30"/>
      <c r="M530" s="30"/>
      <c r="N530" s="30"/>
    </row>
    <row r="531" spans="1:14" ht="12.75">
      <c r="A531" s="30"/>
      <c r="B531" s="30"/>
      <c r="C531" s="30"/>
      <c r="D531" s="30"/>
      <c r="E531" s="30"/>
      <c r="F531" s="30"/>
      <c r="G531" s="30"/>
      <c r="H531" s="30"/>
      <c r="I531" s="30"/>
      <c r="J531" s="30"/>
      <c r="K531" s="30"/>
      <c r="L531" s="30"/>
      <c r="M531" s="30"/>
      <c r="N531" s="30"/>
    </row>
    <row r="532" spans="1:14" ht="12.75">
      <c r="A532" s="30"/>
      <c r="B532" s="30"/>
      <c r="C532" s="30"/>
      <c r="D532" s="30"/>
      <c r="E532" s="30"/>
      <c r="F532" s="30"/>
      <c r="G532" s="30"/>
      <c r="H532" s="30"/>
      <c r="I532" s="30"/>
      <c r="J532" s="30"/>
      <c r="K532" s="30"/>
      <c r="L532" s="30"/>
      <c r="M532" s="30"/>
      <c r="N532" s="30"/>
    </row>
    <row r="533" spans="1:14" ht="12.75">
      <c r="A533" s="30"/>
      <c r="B533" s="30"/>
      <c r="C533" s="30"/>
      <c r="D533" s="30"/>
      <c r="E533" s="30"/>
      <c r="F533" s="30"/>
      <c r="G533" s="30"/>
      <c r="H533" s="30"/>
      <c r="I533" s="30"/>
      <c r="J533" s="30"/>
      <c r="K533" s="30"/>
      <c r="L533" s="30"/>
      <c r="M533" s="30"/>
      <c r="N533" s="30"/>
    </row>
    <row r="534" spans="1:14" ht="12.75">
      <c r="A534" s="30"/>
      <c r="B534" s="30"/>
      <c r="C534" s="30"/>
      <c r="D534" s="30"/>
      <c r="E534" s="30"/>
      <c r="F534" s="30"/>
      <c r="G534" s="30"/>
      <c r="H534" s="30"/>
      <c r="I534" s="30"/>
      <c r="J534" s="30"/>
      <c r="K534" s="30"/>
      <c r="L534" s="30"/>
      <c r="M534" s="30"/>
      <c r="N534" s="30"/>
    </row>
    <row r="535" spans="1:14" ht="12.75">
      <c r="A535" s="30"/>
      <c r="B535" s="30"/>
      <c r="C535" s="30"/>
      <c r="D535" s="30"/>
      <c r="E535" s="30"/>
      <c r="F535" s="30"/>
      <c r="G535" s="30"/>
      <c r="H535" s="30"/>
      <c r="I535" s="30"/>
      <c r="J535" s="30"/>
      <c r="K535" s="30"/>
      <c r="L535" s="30"/>
      <c r="M535" s="30"/>
      <c r="N535" s="30"/>
    </row>
    <row r="536" spans="1:14" ht="12.75">
      <c r="A536" s="30"/>
      <c r="B536" s="30"/>
      <c r="C536" s="30"/>
      <c r="D536" s="30"/>
      <c r="E536" s="30"/>
      <c r="F536" s="30"/>
      <c r="G536" s="30"/>
      <c r="H536" s="30"/>
      <c r="I536" s="30"/>
      <c r="J536" s="30"/>
      <c r="K536" s="30"/>
      <c r="L536" s="30"/>
      <c r="M536" s="30"/>
      <c r="N536" s="30"/>
    </row>
    <row r="537" spans="1:14" ht="12.75">
      <c r="A537" s="30"/>
      <c r="B537" s="30"/>
      <c r="C537" s="30"/>
      <c r="D537" s="30"/>
      <c r="E537" s="30"/>
      <c r="F537" s="30"/>
      <c r="G537" s="30"/>
      <c r="H537" s="30"/>
      <c r="I537" s="30"/>
      <c r="J537" s="30"/>
      <c r="K537" s="30"/>
      <c r="L537" s="30"/>
      <c r="M537" s="30"/>
      <c r="N537" s="30"/>
    </row>
    <row r="538" spans="1:14" ht="12.75">
      <c r="A538" s="30"/>
      <c r="B538" s="30"/>
      <c r="C538" s="30"/>
      <c r="D538" s="30"/>
      <c r="E538" s="30"/>
      <c r="F538" s="30"/>
      <c r="G538" s="30"/>
      <c r="H538" s="30"/>
      <c r="I538" s="30"/>
      <c r="J538" s="30"/>
      <c r="K538" s="30"/>
      <c r="L538" s="30"/>
      <c r="M538" s="30"/>
      <c r="N538" s="30"/>
    </row>
    <row r="539" spans="1:14" ht="12.75">
      <c r="A539" s="30"/>
      <c r="B539" s="30"/>
      <c r="C539" s="30"/>
      <c r="D539" s="30"/>
      <c r="E539" s="30"/>
      <c r="F539" s="30"/>
      <c r="G539" s="30"/>
      <c r="H539" s="30"/>
      <c r="I539" s="30"/>
      <c r="J539" s="30"/>
      <c r="K539" s="30"/>
      <c r="L539" s="30"/>
      <c r="M539" s="30"/>
      <c r="N539" s="30"/>
    </row>
    <row r="540" spans="1:14" ht="12.75">
      <c r="A540" s="30"/>
      <c r="B540" s="30"/>
      <c r="C540" s="30"/>
      <c r="D540" s="30"/>
      <c r="E540" s="30"/>
      <c r="F540" s="30"/>
      <c r="G540" s="30"/>
      <c r="H540" s="30"/>
      <c r="I540" s="30"/>
      <c r="J540" s="30"/>
      <c r="K540" s="30"/>
      <c r="L540" s="30"/>
      <c r="M540" s="30"/>
      <c r="N540" s="30"/>
    </row>
    <row r="541" spans="1:14" ht="12.75">
      <c r="A541" s="30"/>
      <c r="B541" s="30"/>
      <c r="C541" s="30"/>
      <c r="D541" s="30"/>
      <c r="E541" s="30"/>
      <c r="F541" s="30"/>
      <c r="G541" s="30"/>
      <c r="H541" s="30"/>
      <c r="I541" s="30"/>
      <c r="J541" s="30"/>
      <c r="K541" s="30"/>
      <c r="L541" s="30"/>
      <c r="M541" s="30"/>
      <c r="N541" s="30"/>
    </row>
    <row r="542" spans="1:14" ht="12.75">
      <c r="A542" s="30"/>
      <c r="B542" s="30"/>
      <c r="C542" s="30"/>
      <c r="D542" s="30"/>
      <c r="E542" s="30"/>
      <c r="F542" s="30"/>
      <c r="G542" s="30"/>
      <c r="H542" s="30"/>
      <c r="I542" s="30"/>
      <c r="J542" s="30"/>
      <c r="K542" s="30"/>
      <c r="L542" s="30"/>
      <c r="M542" s="30"/>
      <c r="N542" s="30"/>
    </row>
    <row r="543" spans="1:14" ht="12.75">
      <c r="A543" s="30"/>
      <c r="B543" s="30"/>
      <c r="C543" s="30"/>
      <c r="D543" s="30"/>
      <c r="E543" s="30"/>
      <c r="F543" s="30"/>
      <c r="G543" s="30"/>
      <c r="H543" s="30"/>
      <c r="I543" s="30"/>
      <c r="J543" s="30"/>
      <c r="K543" s="30"/>
      <c r="L543" s="30"/>
      <c r="M543" s="30"/>
      <c r="N543" s="30"/>
    </row>
    <row r="544" spans="1:14" ht="12.75">
      <c r="A544" s="30"/>
      <c r="B544" s="30"/>
      <c r="C544" s="30"/>
      <c r="D544" s="30"/>
      <c r="E544" s="30"/>
      <c r="F544" s="30"/>
      <c r="G544" s="30"/>
      <c r="H544" s="30"/>
      <c r="I544" s="30"/>
      <c r="J544" s="30"/>
      <c r="K544" s="30"/>
      <c r="L544" s="30"/>
      <c r="M544" s="30"/>
      <c r="N544" s="30"/>
    </row>
    <row r="545" spans="1:14" ht="12.75">
      <c r="A545" s="30"/>
      <c r="B545" s="30"/>
      <c r="C545" s="30"/>
      <c r="D545" s="30"/>
      <c r="E545" s="30"/>
      <c r="F545" s="30"/>
      <c r="G545" s="30"/>
      <c r="H545" s="30"/>
      <c r="I545" s="30"/>
      <c r="J545" s="30"/>
      <c r="K545" s="30"/>
      <c r="L545" s="30"/>
      <c r="M545" s="30"/>
      <c r="N545" s="30"/>
    </row>
    <row r="546" spans="1:14" ht="12.75">
      <c r="A546" s="30"/>
      <c r="B546" s="30"/>
      <c r="C546" s="30"/>
      <c r="D546" s="30"/>
      <c r="E546" s="30"/>
      <c r="F546" s="30"/>
      <c r="G546" s="30"/>
      <c r="H546" s="30"/>
      <c r="I546" s="30"/>
      <c r="J546" s="30"/>
      <c r="K546" s="30"/>
      <c r="L546" s="30"/>
      <c r="M546" s="30"/>
      <c r="N546" s="30"/>
    </row>
    <row r="547" spans="1:14" ht="12.75">
      <c r="A547" s="30"/>
      <c r="B547" s="30"/>
      <c r="C547" s="30"/>
      <c r="D547" s="30"/>
      <c r="E547" s="30"/>
      <c r="F547" s="30"/>
      <c r="G547" s="30"/>
      <c r="H547" s="30"/>
      <c r="I547" s="30"/>
      <c r="J547" s="30"/>
      <c r="K547" s="30"/>
      <c r="L547" s="30"/>
      <c r="M547" s="30"/>
      <c r="N547" s="30"/>
    </row>
    <row r="548" spans="1:14" ht="12.75">
      <c r="A548" s="30"/>
      <c r="B548" s="30"/>
      <c r="C548" s="30"/>
      <c r="D548" s="30"/>
      <c r="E548" s="30"/>
      <c r="F548" s="30"/>
      <c r="G548" s="30"/>
      <c r="H548" s="30"/>
      <c r="I548" s="30"/>
      <c r="J548" s="30"/>
      <c r="K548" s="30"/>
      <c r="L548" s="30"/>
      <c r="M548" s="30"/>
      <c r="N548" s="30"/>
    </row>
    <row r="549" spans="1:14" ht="12.75">
      <c r="A549" s="30"/>
      <c r="B549" s="30"/>
      <c r="C549" s="30"/>
      <c r="D549" s="30"/>
      <c r="E549" s="30"/>
      <c r="F549" s="30"/>
      <c r="G549" s="30"/>
      <c r="H549" s="30"/>
      <c r="I549" s="30"/>
      <c r="J549" s="30"/>
      <c r="K549" s="30"/>
      <c r="L549" s="30"/>
      <c r="M549" s="30"/>
      <c r="N549" s="30"/>
    </row>
    <row r="550" spans="1:14" ht="12.75">
      <c r="A550" s="30"/>
      <c r="B550" s="30"/>
      <c r="C550" s="30"/>
      <c r="D550" s="30"/>
      <c r="E550" s="30"/>
      <c r="F550" s="30"/>
      <c r="G550" s="30"/>
      <c r="H550" s="30"/>
      <c r="I550" s="30"/>
      <c r="J550" s="30"/>
      <c r="K550" s="30"/>
      <c r="L550" s="30"/>
      <c r="M550" s="30"/>
      <c r="N550" s="30"/>
    </row>
    <row r="551" spans="1:14" ht="12.75">
      <c r="A551" s="30"/>
      <c r="B551" s="30"/>
      <c r="C551" s="30"/>
      <c r="D551" s="30"/>
      <c r="E551" s="30"/>
      <c r="F551" s="30"/>
      <c r="G551" s="30"/>
      <c r="H551" s="30"/>
      <c r="I551" s="30"/>
      <c r="J551" s="30"/>
      <c r="K551" s="30"/>
      <c r="L551" s="30"/>
      <c r="M551" s="30"/>
      <c r="N551" s="30"/>
    </row>
    <row r="552" spans="1:14" ht="12.75">
      <c r="A552" s="30"/>
      <c r="B552" s="30"/>
      <c r="C552" s="30"/>
      <c r="D552" s="30"/>
      <c r="E552" s="30"/>
      <c r="F552" s="30"/>
      <c r="G552" s="30"/>
      <c r="H552" s="30"/>
      <c r="I552" s="30"/>
      <c r="J552" s="30"/>
      <c r="K552" s="30"/>
      <c r="L552" s="30"/>
      <c r="M552" s="30"/>
      <c r="N552" s="30"/>
    </row>
    <row r="553" spans="1:14" ht="12.75">
      <c r="A553" s="30"/>
      <c r="B553" s="30"/>
      <c r="C553" s="30"/>
      <c r="D553" s="30"/>
      <c r="E553" s="30"/>
      <c r="F553" s="30"/>
      <c r="G553" s="30"/>
      <c r="H553" s="30"/>
      <c r="I553" s="30"/>
      <c r="J553" s="30"/>
      <c r="K553" s="30"/>
      <c r="L553" s="30"/>
      <c r="M553" s="30"/>
      <c r="N553" s="30"/>
    </row>
    <row r="554" spans="1:14" ht="12.75">
      <c r="A554" s="30"/>
      <c r="B554" s="30"/>
      <c r="C554" s="30"/>
      <c r="D554" s="30"/>
      <c r="E554" s="30"/>
      <c r="F554" s="30"/>
      <c r="G554" s="30"/>
      <c r="H554" s="30"/>
      <c r="I554" s="30"/>
      <c r="J554" s="30"/>
      <c r="K554" s="30"/>
      <c r="L554" s="30"/>
      <c r="M554" s="30"/>
      <c r="N554" s="30"/>
    </row>
    <row r="555" spans="1:14" ht="12.75">
      <c r="A555" s="30"/>
      <c r="B555" s="30"/>
      <c r="C555" s="30"/>
      <c r="D555" s="30"/>
      <c r="E555" s="30"/>
      <c r="F555" s="30"/>
      <c r="G555" s="30"/>
      <c r="H555" s="30"/>
      <c r="I555" s="30"/>
      <c r="J555" s="30"/>
      <c r="K555" s="30"/>
      <c r="L555" s="30"/>
      <c r="M555" s="30"/>
      <c r="N555" s="30"/>
    </row>
    <row r="556" spans="1:14" ht="12.75">
      <c r="A556" s="30"/>
      <c r="B556" s="30"/>
      <c r="C556" s="30"/>
      <c r="D556" s="30"/>
      <c r="E556" s="30"/>
      <c r="F556" s="30"/>
      <c r="G556" s="30"/>
      <c r="H556" s="30"/>
      <c r="I556" s="30"/>
      <c r="J556" s="30"/>
      <c r="K556" s="30"/>
      <c r="L556" s="30"/>
      <c r="M556" s="30"/>
      <c r="N556" s="30"/>
    </row>
    <row r="557" spans="1:14" ht="12.75">
      <c r="A557" s="30"/>
      <c r="B557" s="30"/>
      <c r="C557" s="30"/>
      <c r="D557" s="30"/>
      <c r="E557" s="30"/>
      <c r="F557" s="30"/>
      <c r="G557" s="30"/>
      <c r="H557" s="30"/>
      <c r="I557" s="30"/>
      <c r="J557" s="30"/>
      <c r="K557" s="30"/>
      <c r="L557" s="30"/>
      <c r="M557" s="30"/>
      <c r="N557" s="30"/>
    </row>
    <row r="558" spans="1:14" ht="12.75">
      <c r="A558" s="30"/>
      <c r="B558" s="30"/>
      <c r="C558" s="30"/>
      <c r="D558" s="30"/>
      <c r="E558" s="30"/>
      <c r="F558" s="30"/>
      <c r="G558" s="30"/>
      <c r="H558" s="30"/>
      <c r="I558" s="30"/>
      <c r="J558" s="30"/>
      <c r="K558" s="30"/>
      <c r="L558" s="30"/>
      <c r="M558" s="30"/>
      <c r="N558" s="30"/>
    </row>
    <row r="559" spans="1:14" ht="12.75">
      <c r="A559" s="30"/>
      <c r="B559" s="30"/>
      <c r="C559" s="30"/>
      <c r="D559" s="30"/>
      <c r="E559" s="30"/>
      <c r="F559" s="30"/>
      <c r="G559" s="30"/>
      <c r="H559" s="30"/>
      <c r="I559" s="30"/>
      <c r="J559" s="30"/>
      <c r="K559" s="30"/>
      <c r="L559" s="30"/>
      <c r="M559" s="30"/>
      <c r="N559" s="30"/>
    </row>
    <row r="560" spans="1:14" ht="12.75">
      <c r="A560" s="30"/>
      <c r="B560" s="30"/>
      <c r="C560" s="30"/>
      <c r="D560" s="30"/>
      <c r="E560" s="30"/>
      <c r="F560" s="30"/>
      <c r="G560" s="30"/>
      <c r="H560" s="30"/>
      <c r="I560" s="30"/>
      <c r="J560" s="30"/>
      <c r="K560" s="30"/>
      <c r="L560" s="30"/>
      <c r="M560" s="30"/>
      <c r="N560" s="30"/>
    </row>
    <row r="561" spans="1:14" ht="12.75">
      <c r="A561" s="30"/>
      <c r="B561" s="30"/>
      <c r="C561" s="30"/>
      <c r="D561" s="30"/>
      <c r="E561" s="30"/>
      <c r="F561" s="30"/>
      <c r="G561" s="30"/>
      <c r="H561" s="30"/>
      <c r="I561" s="30"/>
      <c r="J561" s="30"/>
      <c r="K561" s="30"/>
      <c r="L561" s="30"/>
      <c r="M561" s="30"/>
      <c r="N561" s="30"/>
    </row>
    <row r="562" spans="1:14" ht="12.75">
      <c r="A562" s="30"/>
      <c r="B562" s="30"/>
      <c r="C562" s="30"/>
      <c r="D562" s="30"/>
      <c r="E562" s="30"/>
      <c r="F562" s="30"/>
      <c r="G562" s="30"/>
      <c r="H562" s="30"/>
      <c r="I562" s="30"/>
      <c r="J562" s="30"/>
      <c r="K562" s="30"/>
      <c r="L562" s="30"/>
      <c r="M562" s="30"/>
      <c r="N562" s="30"/>
    </row>
    <row r="563" spans="1:14" ht="12.75">
      <c r="A563" s="30"/>
      <c r="B563" s="30"/>
      <c r="C563" s="30"/>
      <c r="D563" s="30"/>
      <c r="E563" s="30"/>
      <c r="F563" s="30"/>
      <c r="G563" s="30"/>
      <c r="H563" s="30"/>
      <c r="I563" s="30"/>
      <c r="J563" s="30"/>
      <c r="K563" s="30"/>
      <c r="L563" s="30"/>
      <c r="M563" s="30"/>
      <c r="N563" s="30"/>
    </row>
    <row r="564" spans="1:14" ht="12.75">
      <c r="A564" s="30"/>
      <c r="B564" s="30"/>
      <c r="C564" s="30"/>
      <c r="D564" s="30"/>
      <c r="E564" s="30"/>
      <c r="F564" s="30"/>
      <c r="G564" s="30"/>
      <c r="H564" s="30"/>
      <c r="I564" s="30"/>
      <c r="J564" s="30"/>
      <c r="K564" s="30"/>
      <c r="L564" s="30"/>
      <c r="M564" s="30"/>
      <c r="N564" s="30"/>
    </row>
    <row r="565" spans="1:14" ht="12.75">
      <c r="A565" s="30"/>
      <c r="B565" s="30"/>
      <c r="C565" s="30"/>
      <c r="D565" s="30"/>
      <c r="E565" s="30"/>
      <c r="F565" s="30"/>
      <c r="G565" s="30"/>
      <c r="H565" s="30"/>
      <c r="I565" s="30"/>
      <c r="J565" s="30"/>
      <c r="K565" s="30"/>
      <c r="L565" s="30"/>
      <c r="M565" s="30"/>
      <c r="N565" s="30"/>
    </row>
    <row r="566" spans="1:14" ht="12.75">
      <c r="A566" s="30"/>
      <c r="B566" s="30"/>
      <c r="C566" s="30"/>
      <c r="D566" s="30"/>
      <c r="E566" s="30"/>
      <c r="F566" s="30"/>
      <c r="G566" s="30"/>
      <c r="H566" s="30"/>
      <c r="I566" s="30"/>
      <c r="J566" s="30"/>
      <c r="K566" s="30"/>
      <c r="L566" s="30"/>
      <c r="M566" s="30"/>
      <c r="N566" s="30"/>
    </row>
    <row r="567" spans="1:14" ht="12.75">
      <c r="A567" s="30"/>
      <c r="B567" s="30"/>
      <c r="C567" s="30"/>
      <c r="D567" s="30"/>
      <c r="E567" s="30"/>
      <c r="F567" s="30"/>
      <c r="G567" s="30"/>
      <c r="H567" s="30"/>
      <c r="I567" s="30"/>
      <c r="J567" s="30"/>
      <c r="K567" s="30"/>
      <c r="L567" s="30"/>
      <c r="M567" s="30"/>
      <c r="N567" s="30"/>
    </row>
    <row r="568" spans="1:14" ht="12.75">
      <c r="A568" s="30"/>
      <c r="B568" s="30"/>
      <c r="C568" s="30"/>
      <c r="D568" s="30"/>
      <c r="E568" s="30"/>
      <c r="F568" s="30"/>
      <c r="G568" s="30"/>
      <c r="H568" s="30"/>
      <c r="I568" s="30"/>
      <c r="J568" s="30"/>
      <c r="K568" s="30"/>
      <c r="L568" s="30"/>
      <c r="M568" s="30"/>
      <c r="N568" s="30"/>
    </row>
    <row r="569" spans="1:14" ht="12.75">
      <c r="A569" s="30"/>
      <c r="B569" s="30"/>
      <c r="C569" s="30"/>
      <c r="D569" s="30"/>
      <c r="E569" s="30"/>
      <c r="F569" s="30"/>
      <c r="G569" s="30"/>
      <c r="H569" s="30"/>
      <c r="I569" s="30"/>
      <c r="J569" s="30"/>
      <c r="K569" s="30"/>
      <c r="L569" s="30"/>
      <c r="M569" s="30"/>
      <c r="N569" s="30"/>
    </row>
    <row r="570" spans="1:14" ht="12.75">
      <c r="A570" s="30"/>
      <c r="B570" s="30"/>
      <c r="C570" s="30"/>
      <c r="D570" s="30"/>
      <c r="E570" s="30"/>
      <c r="F570" s="30"/>
      <c r="G570" s="30"/>
      <c r="H570" s="30"/>
      <c r="I570" s="30"/>
      <c r="J570" s="30"/>
      <c r="K570" s="30"/>
      <c r="L570" s="30"/>
      <c r="M570" s="30"/>
      <c r="N570" s="30"/>
    </row>
    <row r="571" spans="1:14" ht="12.75">
      <c r="A571" s="30"/>
      <c r="B571" s="30"/>
      <c r="C571" s="30"/>
      <c r="D571" s="30"/>
      <c r="E571" s="30"/>
      <c r="F571" s="30"/>
      <c r="G571" s="30"/>
      <c r="H571" s="30"/>
      <c r="I571" s="30"/>
      <c r="J571" s="30"/>
      <c r="K571" s="30"/>
      <c r="L571" s="30"/>
      <c r="M571" s="30"/>
      <c r="N571" s="30"/>
    </row>
    <row r="572" spans="1:14" ht="12.75">
      <c r="A572" s="30"/>
      <c r="B572" s="30"/>
      <c r="C572" s="30"/>
      <c r="D572" s="30"/>
      <c r="E572" s="30"/>
      <c r="F572" s="30"/>
      <c r="G572" s="30"/>
      <c r="H572" s="30"/>
      <c r="I572" s="30"/>
      <c r="J572" s="30"/>
      <c r="K572" s="30"/>
      <c r="L572" s="30"/>
      <c r="M572" s="30"/>
      <c r="N572" s="30"/>
    </row>
    <row r="573" spans="1:14" ht="12.75">
      <c r="A573" s="30"/>
      <c r="B573" s="30"/>
      <c r="C573" s="30"/>
      <c r="D573" s="30"/>
      <c r="E573" s="30"/>
      <c r="F573" s="30"/>
      <c r="G573" s="30"/>
      <c r="H573" s="30"/>
      <c r="I573" s="30"/>
      <c r="J573" s="30"/>
      <c r="K573" s="30"/>
      <c r="L573" s="30"/>
      <c r="M573" s="30"/>
      <c r="N573" s="30"/>
    </row>
    <row r="574" spans="1:14" ht="12.75">
      <c r="A574" s="30"/>
      <c r="B574" s="30"/>
      <c r="C574" s="30"/>
      <c r="D574" s="30"/>
      <c r="E574" s="30"/>
      <c r="F574" s="30"/>
      <c r="G574" s="30"/>
      <c r="H574" s="30"/>
      <c r="I574" s="30"/>
      <c r="J574" s="30"/>
      <c r="K574" s="30"/>
      <c r="L574" s="30"/>
      <c r="M574" s="30"/>
      <c r="N574" s="30"/>
    </row>
    <row r="575" spans="1:14" ht="12.75">
      <c r="A575" s="30"/>
      <c r="B575" s="30"/>
      <c r="C575" s="30"/>
      <c r="D575" s="30"/>
      <c r="E575" s="30"/>
      <c r="F575" s="30"/>
      <c r="G575" s="30"/>
      <c r="H575" s="30"/>
      <c r="I575" s="30"/>
      <c r="J575" s="30"/>
      <c r="K575" s="30"/>
      <c r="L575" s="30"/>
      <c r="M575" s="30"/>
      <c r="N575" s="30"/>
    </row>
    <row r="576" spans="1:14" ht="12.75">
      <c r="A576" s="30"/>
      <c r="B576" s="30"/>
      <c r="C576" s="30"/>
      <c r="D576" s="30"/>
      <c r="E576" s="30"/>
      <c r="F576" s="30"/>
      <c r="G576" s="30"/>
      <c r="H576" s="30"/>
      <c r="I576" s="30"/>
      <c r="J576" s="30"/>
      <c r="K576" s="30"/>
      <c r="L576" s="30"/>
      <c r="M576" s="30"/>
      <c r="N576" s="30"/>
    </row>
    <row r="577" spans="1:14" ht="12.75">
      <c r="A577" s="30"/>
      <c r="B577" s="30"/>
      <c r="C577" s="30"/>
      <c r="D577" s="30"/>
      <c r="E577" s="30"/>
      <c r="F577" s="30"/>
      <c r="G577" s="30"/>
      <c r="H577" s="30"/>
      <c r="I577" s="30"/>
      <c r="J577" s="30"/>
      <c r="K577" s="30"/>
      <c r="L577" s="30"/>
      <c r="M577" s="30"/>
      <c r="N577" s="30"/>
    </row>
    <row r="578" spans="1:14" ht="12.75">
      <c r="A578" s="30"/>
      <c r="B578" s="30"/>
      <c r="C578" s="30"/>
      <c r="D578" s="30"/>
      <c r="E578" s="30"/>
      <c r="F578" s="30"/>
      <c r="G578" s="30"/>
      <c r="H578" s="30"/>
      <c r="I578" s="30"/>
      <c r="J578" s="30"/>
      <c r="K578" s="30"/>
      <c r="L578" s="30"/>
      <c r="M578" s="30"/>
      <c r="N578" s="30"/>
    </row>
    <row r="579" spans="1:14" ht="12.75">
      <c r="A579" s="30"/>
      <c r="B579" s="30"/>
      <c r="C579" s="30"/>
      <c r="D579" s="30"/>
      <c r="E579" s="30"/>
      <c r="F579" s="30"/>
      <c r="G579" s="30"/>
      <c r="H579" s="30"/>
      <c r="I579" s="30"/>
      <c r="J579" s="30"/>
      <c r="K579" s="30"/>
      <c r="L579" s="30"/>
      <c r="M579" s="30"/>
      <c r="N579" s="30"/>
    </row>
    <row r="580" spans="1:14" ht="12.75">
      <c r="A580" s="30"/>
      <c r="B580" s="30"/>
      <c r="C580" s="30"/>
      <c r="D580" s="30"/>
      <c r="E580" s="30"/>
      <c r="F580" s="30"/>
      <c r="G580" s="30"/>
      <c r="H580" s="30"/>
      <c r="I580" s="30"/>
      <c r="J580" s="30"/>
      <c r="K580" s="30"/>
      <c r="L580" s="30"/>
      <c r="M580" s="30"/>
      <c r="N580" s="30"/>
    </row>
    <row r="581" spans="1:14" ht="12.75">
      <c r="A581" s="30"/>
      <c r="B581" s="30"/>
      <c r="C581" s="30"/>
      <c r="D581" s="30"/>
      <c r="E581" s="30"/>
      <c r="F581" s="30"/>
      <c r="G581" s="30"/>
      <c r="H581" s="30"/>
      <c r="I581" s="30"/>
      <c r="J581" s="30"/>
      <c r="K581" s="30"/>
      <c r="L581" s="30"/>
      <c r="M581" s="30"/>
      <c r="N581" s="30"/>
    </row>
    <row r="582" spans="1:14" ht="12.75">
      <c r="A582" s="30"/>
      <c r="B582" s="30"/>
      <c r="C582" s="30"/>
      <c r="D582" s="30"/>
      <c r="E582" s="30"/>
      <c r="F582" s="30"/>
      <c r="G582" s="30"/>
      <c r="H582" s="30"/>
      <c r="I582" s="30"/>
      <c r="J582" s="30"/>
      <c r="K582" s="30"/>
      <c r="L582" s="30"/>
      <c r="M582" s="30"/>
      <c r="N582" s="30"/>
    </row>
    <row r="583" spans="1:14" ht="12.75">
      <c r="A583" s="30"/>
      <c r="B583" s="30"/>
      <c r="C583" s="30"/>
      <c r="D583" s="30"/>
      <c r="E583" s="30"/>
      <c r="F583" s="30"/>
      <c r="G583" s="30"/>
      <c r="H583" s="30"/>
      <c r="I583" s="30"/>
      <c r="J583" s="30"/>
      <c r="K583" s="30"/>
      <c r="L583" s="30"/>
      <c r="M583" s="30"/>
      <c r="N583" s="30"/>
    </row>
    <row r="584" spans="1:14" ht="12.75">
      <c r="A584" s="30"/>
      <c r="B584" s="30"/>
      <c r="C584" s="30"/>
      <c r="D584" s="30"/>
      <c r="E584" s="30"/>
      <c r="F584" s="30"/>
      <c r="G584" s="30"/>
      <c r="H584" s="30"/>
      <c r="I584" s="30"/>
      <c r="J584" s="30"/>
      <c r="K584" s="30"/>
      <c r="L584" s="30"/>
      <c r="M584" s="30"/>
      <c r="N584" s="30"/>
    </row>
    <row r="585" spans="1:14" ht="12.75">
      <c r="A585" s="30"/>
      <c r="B585" s="30"/>
      <c r="C585" s="30"/>
      <c r="D585" s="30"/>
      <c r="E585" s="30"/>
      <c r="F585" s="30"/>
      <c r="G585" s="30"/>
      <c r="H585" s="30"/>
      <c r="I585" s="30"/>
      <c r="J585" s="30"/>
      <c r="K585" s="30"/>
      <c r="L585" s="30"/>
      <c r="M585" s="30"/>
      <c r="N585" s="30"/>
    </row>
    <row r="586" spans="1:14" ht="12.75">
      <c r="A586" s="30"/>
      <c r="B586" s="30"/>
      <c r="C586" s="30"/>
      <c r="D586" s="30"/>
      <c r="E586" s="30"/>
      <c r="F586" s="30"/>
      <c r="G586" s="30"/>
      <c r="H586" s="30"/>
      <c r="I586" s="30"/>
      <c r="J586" s="30"/>
      <c r="K586" s="30"/>
      <c r="L586" s="30"/>
      <c r="M586" s="30"/>
      <c r="N586" s="30"/>
    </row>
    <row r="587" spans="1:14" ht="12.75">
      <c r="A587" s="30"/>
      <c r="B587" s="30"/>
      <c r="C587" s="30"/>
      <c r="D587" s="30"/>
      <c r="E587" s="30"/>
      <c r="F587" s="30"/>
      <c r="G587" s="30"/>
      <c r="H587" s="30"/>
      <c r="I587" s="30"/>
      <c r="J587" s="30"/>
      <c r="K587" s="30"/>
      <c r="L587" s="30"/>
      <c r="M587" s="30"/>
      <c r="N587" s="30"/>
    </row>
    <row r="588" spans="1:14" ht="12.75">
      <c r="A588" s="30"/>
      <c r="B588" s="30"/>
      <c r="C588" s="30"/>
      <c r="D588" s="30"/>
      <c r="E588" s="30"/>
      <c r="F588" s="30"/>
      <c r="G588" s="30"/>
      <c r="H588" s="30"/>
      <c r="I588" s="30"/>
      <c r="J588" s="30"/>
      <c r="K588" s="30"/>
      <c r="L588" s="30"/>
      <c r="M588" s="30"/>
      <c r="N588" s="30"/>
    </row>
    <row r="589" spans="1:14" ht="12.75">
      <c r="A589" s="30"/>
      <c r="B589" s="30"/>
      <c r="C589" s="30"/>
      <c r="D589" s="30"/>
      <c r="E589" s="30"/>
      <c r="F589" s="30"/>
      <c r="G589" s="30"/>
      <c r="H589" s="30"/>
      <c r="I589" s="30"/>
      <c r="J589" s="30"/>
      <c r="K589" s="30"/>
      <c r="L589" s="30"/>
      <c r="M589" s="30"/>
      <c r="N589" s="30"/>
    </row>
    <row r="590" spans="1:14" ht="12.75">
      <c r="A590" s="30"/>
      <c r="B590" s="30"/>
      <c r="C590" s="30"/>
      <c r="D590" s="30"/>
      <c r="E590" s="30"/>
      <c r="F590" s="30"/>
      <c r="G590" s="30"/>
      <c r="H590" s="30"/>
      <c r="I590" s="30"/>
      <c r="J590" s="30"/>
      <c r="K590" s="30"/>
      <c r="L590" s="30"/>
      <c r="M590" s="30"/>
      <c r="N590" s="30"/>
    </row>
    <row r="591" spans="1:14" ht="12.75">
      <c r="A591" s="30"/>
      <c r="B591" s="30"/>
      <c r="C591" s="30"/>
      <c r="D591" s="30"/>
      <c r="E591" s="30"/>
      <c r="F591" s="30"/>
      <c r="G591" s="30"/>
      <c r="H591" s="30"/>
      <c r="I591" s="30"/>
      <c r="J591" s="30"/>
      <c r="K591" s="30"/>
      <c r="L591" s="30"/>
      <c r="M591" s="30"/>
      <c r="N591" s="30"/>
    </row>
    <row r="592" spans="1:14" ht="12.75">
      <c r="A592" s="30"/>
      <c r="B592" s="30"/>
      <c r="C592" s="30"/>
      <c r="D592" s="30"/>
      <c r="E592" s="30"/>
      <c r="F592" s="30"/>
      <c r="G592" s="30"/>
      <c r="H592" s="30"/>
      <c r="I592" s="30"/>
      <c r="J592" s="30"/>
      <c r="K592" s="30"/>
      <c r="L592" s="30"/>
      <c r="M592" s="30"/>
      <c r="N592" s="30"/>
    </row>
    <row r="593" spans="1:14" ht="12.75">
      <c r="A593" s="30"/>
      <c r="B593" s="30"/>
      <c r="C593" s="30"/>
      <c r="D593" s="30"/>
      <c r="E593" s="30"/>
      <c r="F593" s="30"/>
      <c r="G593" s="30"/>
      <c r="H593" s="30"/>
      <c r="I593" s="30"/>
      <c r="J593" s="30"/>
      <c r="K593" s="30"/>
      <c r="L593" s="30"/>
      <c r="M593" s="30"/>
      <c r="N593" s="30"/>
    </row>
    <row r="594" spans="1:14" ht="12.75">
      <c r="A594" s="30"/>
      <c r="B594" s="30"/>
      <c r="C594" s="30"/>
      <c r="D594" s="30"/>
      <c r="E594" s="30"/>
      <c r="F594" s="30"/>
      <c r="G594" s="30"/>
      <c r="H594" s="30"/>
      <c r="I594" s="30"/>
      <c r="J594" s="30"/>
      <c r="K594" s="30"/>
      <c r="L594" s="30"/>
      <c r="M594" s="30"/>
      <c r="N594" s="30"/>
    </row>
    <row r="595" spans="1:14" ht="12.75">
      <c r="A595" s="30"/>
      <c r="B595" s="30"/>
      <c r="C595" s="30"/>
      <c r="D595" s="30"/>
      <c r="E595" s="30"/>
      <c r="F595" s="30"/>
      <c r="G595" s="30"/>
      <c r="H595" s="30"/>
      <c r="I595" s="30"/>
      <c r="J595" s="30"/>
      <c r="K595" s="30"/>
      <c r="L595" s="30"/>
      <c r="M595" s="30"/>
      <c r="N595" s="30"/>
    </row>
    <row r="596" spans="1:14" ht="12.75">
      <c r="A596" s="30"/>
      <c r="B596" s="30"/>
      <c r="C596" s="30"/>
      <c r="D596" s="30"/>
      <c r="E596" s="30"/>
      <c r="F596" s="30"/>
      <c r="G596" s="30"/>
      <c r="H596" s="30"/>
      <c r="I596" s="30"/>
      <c r="J596" s="30"/>
      <c r="K596" s="30"/>
      <c r="L596" s="30"/>
      <c r="M596" s="30"/>
      <c r="N596" s="30"/>
    </row>
    <row r="597" spans="1:14" ht="12.75">
      <c r="A597" s="30"/>
      <c r="B597" s="30"/>
      <c r="C597" s="30"/>
      <c r="D597" s="30"/>
      <c r="E597" s="30"/>
      <c r="F597" s="30"/>
      <c r="G597" s="30"/>
      <c r="H597" s="30"/>
      <c r="I597" s="30"/>
      <c r="J597" s="30"/>
      <c r="K597" s="30"/>
      <c r="L597" s="30"/>
      <c r="M597" s="30"/>
      <c r="N597" s="30"/>
    </row>
    <row r="598" spans="1:14" ht="12.75">
      <c r="A598" s="30"/>
      <c r="B598" s="30"/>
      <c r="C598" s="30"/>
      <c r="D598" s="30"/>
      <c r="E598" s="30"/>
      <c r="F598" s="30"/>
      <c r="G598" s="30"/>
      <c r="H598" s="30"/>
      <c r="I598" s="30"/>
      <c r="J598" s="30"/>
      <c r="K598" s="30"/>
      <c r="L598" s="30"/>
      <c r="M598" s="30"/>
      <c r="N598" s="30"/>
    </row>
    <row r="599" spans="1:14" ht="12.75">
      <c r="A599" s="30"/>
      <c r="B599" s="30"/>
      <c r="C599" s="30"/>
      <c r="D599" s="30"/>
      <c r="E599" s="30"/>
      <c r="F599" s="30"/>
      <c r="G599" s="30"/>
      <c r="H599" s="30"/>
      <c r="I599" s="30"/>
      <c r="J599" s="30"/>
      <c r="K599" s="30"/>
      <c r="L599" s="30"/>
      <c r="M599" s="30"/>
      <c r="N599" s="30"/>
    </row>
    <row r="600" spans="1:14" ht="12.75">
      <c r="A600" s="30"/>
      <c r="B600" s="30"/>
      <c r="C600" s="30"/>
      <c r="D600" s="30"/>
      <c r="E600" s="30"/>
      <c r="F600" s="30"/>
      <c r="G600" s="30"/>
      <c r="H600" s="30"/>
      <c r="I600" s="30"/>
      <c r="J600" s="30"/>
      <c r="K600" s="30"/>
      <c r="L600" s="30"/>
      <c r="M600" s="30"/>
      <c r="N600" s="30"/>
    </row>
    <row r="601" spans="1:14" ht="12.75">
      <c r="A601" s="30"/>
      <c r="B601" s="30"/>
      <c r="C601" s="30"/>
      <c r="D601" s="30"/>
      <c r="E601" s="30"/>
      <c r="F601" s="30"/>
      <c r="G601" s="30"/>
      <c r="H601" s="30"/>
      <c r="I601" s="30"/>
      <c r="J601" s="30"/>
      <c r="K601" s="30"/>
      <c r="L601" s="30"/>
      <c r="M601" s="30"/>
      <c r="N601" s="30"/>
    </row>
    <row r="602" spans="1:14" ht="12.75">
      <c r="A602" s="30"/>
      <c r="B602" s="30"/>
      <c r="C602" s="30"/>
      <c r="D602" s="30"/>
      <c r="E602" s="30"/>
      <c r="F602" s="30"/>
      <c r="G602" s="30"/>
      <c r="H602" s="30"/>
      <c r="I602" s="30"/>
      <c r="J602" s="30"/>
      <c r="K602" s="30"/>
      <c r="L602" s="30"/>
      <c r="M602" s="30"/>
      <c r="N602" s="30"/>
    </row>
    <row r="603" spans="1:14" ht="12.75">
      <c r="A603" s="30"/>
      <c r="B603" s="30"/>
      <c r="C603" s="30"/>
      <c r="D603" s="30"/>
      <c r="E603" s="30"/>
      <c r="F603" s="30"/>
      <c r="G603" s="30"/>
      <c r="H603" s="30"/>
      <c r="I603" s="30"/>
      <c r="J603" s="30"/>
      <c r="K603" s="30"/>
      <c r="L603" s="30"/>
      <c r="M603" s="30"/>
      <c r="N603" s="30"/>
    </row>
    <row r="604" spans="1:14" ht="12.75">
      <c r="A604" s="30"/>
      <c r="B604" s="30"/>
      <c r="C604" s="30"/>
      <c r="D604" s="30"/>
      <c r="E604" s="30"/>
      <c r="F604" s="30"/>
      <c r="G604" s="30"/>
      <c r="H604" s="30"/>
      <c r="I604" s="30"/>
      <c r="J604" s="30"/>
      <c r="K604" s="30"/>
      <c r="L604" s="30"/>
      <c r="M604" s="30"/>
      <c r="N604" s="30"/>
    </row>
    <row r="605" spans="1:14" ht="12.75">
      <c r="A605" s="30"/>
      <c r="B605" s="30"/>
      <c r="C605" s="30"/>
      <c r="D605" s="30"/>
      <c r="E605" s="30"/>
      <c r="F605" s="30"/>
      <c r="G605" s="30"/>
      <c r="H605" s="30"/>
      <c r="I605" s="30"/>
      <c r="J605" s="30"/>
      <c r="K605" s="30"/>
      <c r="L605" s="30"/>
      <c r="M605" s="30"/>
      <c r="N605" s="30"/>
    </row>
    <row r="606" spans="1:14" ht="12.75">
      <c r="A606" s="30"/>
      <c r="B606" s="30"/>
      <c r="C606" s="30"/>
      <c r="D606" s="30"/>
      <c r="E606" s="30"/>
      <c r="F606" s="30"/>
      <c r="G606" s="30"/>
      <c r="H606" s="30"/>
      <c r="I606" s="30"/>
      <c r="J606" s="30"/>
      <c r="K606" s="30"/>
      <c r="L606" s="30"/>
      <c r="M606" s="30"/>
      <c r="N606" s="30"/>
    </row>
    <row r="607" spans="1:14" ht="12.75">
      <c r="A607" s="30"/>
      <c r="B607" s="30"/>
      <c r="C607" s="30"/>
      <c r="D607" s="30"/>
      <c r="E607" s="30"/>
      <c r="F607" s="30"/>
      <c r="G607" s="30"/>
      <c r="H607" s="30"/>
      <c r="I607" s="30"/>
      <c r="J607" s="30"/>
      <c r="K607" s="30"/>
      <c r="L607" s="30"/>
      <c r="M607" s="30"/>
      <c r="N607" s="30"/>
    </row>
    <row r="608" spans="1:14" ht="12.75">
      <c r="A608" s="30"/>
      <c r="B608" s="30"/>
      <c r="C608" s="30"/>
      <c r="D608" s="30"/>
      <c r="E608" s="30"/>
      <c r="F608" s="30"/>
      <c r="G608" s="30"/>
      <c r="H608" s="30"/>
      <c r="I608" s="30"/>
      <c r="J608" s="30"/>
      <c r="K608" s="30"/>
      <c r="L608" s="30"/>
      <c r="M608" s="30"/>
      <c r="N608" s="30"/>
    </row>
    <row r="609" spans="1:14" ht="12.75">
      <c r="A609" s="30"/>
      <c r="B609" s="30"/>
      <c r="C609" s="30"/>
      <c r="D609" s="30"/>
      <c r="E609" s="30"/>
      <c r="F609" s="30"/>
      <c r="G609" s="30"/>
      <c r="H609" s="30"/>
      <c r="I609" s="30"/>
      <c r="J609" s="30"/>
      <c r="K609" s="30"/>
      <c r="L609" s="30"/>
      <c r="M609" s="30"/>
      <c r="N609" s="30"/>
    </row>
    <row r="610" spans="1:14" ht="12.75">
      <c r="A610" s="30"/>
      <c r="B610" s="30"/>
      <c r="C610" s="30"/>
      <c r="D610" s="30"/>
      <c r="E610" s="30"/>
      <c r="F610" s="30"/>
      <c r="G610" s="30"/>
      <c r="H610" s="30"/>
      <c r="I610" s="30"/>
      <c r="J610" s="30"/>
      <c r="K610" s="30"/>
      <c r="L610" s="30"/>
      <c r="M610" s="30"/>
      <c r="N610" s="30"/>
    </row>
    <row r="611" spans="1:14" ht="12.75">
      <c r="A611" s="30"/>
      <c r="B611" s="30"/>
      <c r="C611" s="30"/>
      <c r="D611" s="30"/>
      <c r="E611" s="30"/>
      <c r="F611" s="30"/>
      <c r="G611" s="30"/>
      <c r="H611" s="30"/>
      <c r="I611" s="30"/>
      <c r="J611" s="30"/>
      <c r="K611" s="30"/>
      <c r="L611" s="30"/>
      <c r="M611" s="30"/>
      <c r="N611" s="30"/>
    </row>
    <row r="612" spans="1:14" ht="12.75">
      <c r="A612" s="30"/>
      <c r="B612" s="30"/>
      <c r="C612" s="30"/>
      <c r="D612" s="30"/>
      <c r="E612" s="30"/>
      <c r="F612" s="30"/>
      <c r="G612" s="30"/>
      <c r="H612" s="30"/>
      <c r="I612" s="30"/>
      <c r="J612" s="30"/>
      <c r="K612" s="30"/>
      <c r="L612" s="30"/>
      <c r="M612" s="30"/>
      <c r="N612" s="30"/>
    </row>
    <row r="613" spans="1:14" ht="12.75">
      <c r="A613" s="30"/>
      <c r="B613" s="30"/>
      <c r="C613" s="30"/>
      <c r="D613" s="30"/>
      <c r="E613" s="30"/>
      <c r="F613" s="30"/>
      <c r="G613" s="30"/>
      <c r="H613" s="30"/>
      <c r="I613" s="30"/>
      <c r="J613" s="30"/>
      <c r="K613" s="30"/>
      <c r="L613" s="30"/>
      <c r="M613" s="30"/>
      <c r="N613" s="30"/>
    </row>
    <row r="614" spans="1:14" ht="12.75">
      <c r="A614" s="30"/>
      <c r="B614" s="30"/>
      <c r="C614" s="30"/>
      <c r="D614" s="30"/>
      <c r="E614" s="30"/>
      <c r="F614" s="30"/>
      <c r="G614" s="30"/>
      <c r="H614" s="30"/>
      <c r="I614" s="30"/>
      <c r="J614" s="30"/>
      <c r="K614" s="30"/>
      <c r="L614" s="30"/>
      <c r="M614" s="30"/>
      <c r="N614" s="30"/>
    </row>
    <row r="615" spans="1:14" ht="12.75">
      <c r="A615" s="30"/>
      <c r="B615" s="30"/>
      <c r="C615" s="30"/>
      <c r="D615" s="30"/>
      <c r="E615" s="30"/>
      <c r="F615" s="30"/>
      <c r="G615" s="30"/>
      <c r="H615" s="30"/>
      <c r="I615" s="30"/>
      <c r="J615" s="30"/>
      <c r="K615" s="30"/>
      <c r="L615" s="30"/>
      <c r="M615" s="30"/>
      <c r="N615" s="30"/>
    </row>
    <row r="616" spans="1:14" ht="12.75">
      <c r="A616" s="30"/>
      <c r="B616" s="30"/>
      <c r="C616" s="30"/>
      <c r="D616" s="30"/>
      <c r="E616" s="30"/>
      <c r="F616" s="30"/>
      <c r="G616" s="30"/>
      <c r="H616" s="30"/>
      <c r="I616" s="30"/>
      <c r="J616" s="30"/>
      <c r="K616" s="30"/>
      <c r="L616" s="30"/>
      <c r="M616" s="30"/>
      <c r="N616" s="30"/>
    </row>
    <row r="617" spans="1:14" ht="12.75">
      <c r="A617" s="30"/>
      <c r="B617" s="30"/>
      <c r="C617" s="30"/>
      <c r="D617" s="30"/>
      <c r="E617" s="30"/>
      <c r="F617" s="30"/>
      <c r="G617" s="30"/>
      <c r="H617" s="30"/>
      <c r="I617" s="30"/>
      <c r="J617" s="30"/>
      <c r="K617" s="30"/>
      <c r="L617" s="30"/>
      <c r="M617" s="30"/>
      <c r="N617" s="30"/>
    </row>
    <row r="618" spans="1:14" ht="12.75">
      <c r="A618" s="30"/>
      <c r="B618" s="30"/>
      <c r="C618" s="30"/>
      <c r="D618" s="30"/>
      <c r="E618" s="30"/>
      <c r="F618" s="30"/>
      <c r="G618" s="30"/>
      <c r="H618" s="30"/>
      <c r="I618" s="30"/>
      <c r="J618" s="30"/>
      <c r="K618" s="30"/>
      <c r="L618" s="30"/>
      <c r="M618" s="30"/>
      <c r="N618" s="30"/>
    </row>
    <row r="619" spans="1:14" ht="12.75">
      <c r="A619" s="30"/>
      <c r="B619" s="30"/>
      <c r="C619" s="30"/>
      <c r="D619" s="30"/>
      <c r="E619" s="30"/>
      <c r="F619" s="30"/>
      <c r="G619" s="30"/>
      <c r="H619" s="30"/>
      <c r="I619" s="30"/>
      <c r="J619" s="30"/>
      <c r="K619" s="30"/>
      <c r="L619" s="30"/>
      <c r="M619" s="30"/>
      <c r="N619" s="30"/>
    </row>
    <row r="620" spans="1:14" ht="12.75">
      <c r="A620" s="30"/>
      <c r="B620" s="30"/>
      <c r="C620" s="30"/>
      <c r="D620" s="30"/>
      <c r="E620" s="30"/>
      <c r="F620" s="30"/>
      <c r="G620" s="30"/>
      <c r="H620" s="30"/>
      <c r="I620" s="30"/>
      <c r="J620" s="30"/>
      <c r="K620" s="30"/>
      <c r="L620" s="30"/>
      <c r="M620" s="30"/>
      <c r="N620" s="30"/>
    </row>
    <row r="621" spans="1:14" ht="12.75">
      <c r="A621" s="30"/>
      <c r="B621" s="30"/>
      <c r="C621" s="30"/>
      <c r="D621" s="30"/>
      <c r="E621" s="30"/>
      <c r="F621" s="30"/>
      <c r="G621" s="30"/>
      <c r="H621" s="30"/>
      <c r="I621" s="30"/>
      <c r="J621" s="30"/>
      <c r="K621" s="30"/>
      <c r="L621" s="30"/>
      <c r="M621" s="30"/>
      <c r="N621" s="30"/>
    </row>
    <row r="622" spans="1:14" ht="12.75">
      <c r="A622" s="30"/>
      <c r="B622" s="30"/>
      <c r="C622" s="30"/>
      <c r="D622" s="30"/>
      <c r="E622" s="30"/>
      <c r="F622" s="30"/>
      <c r="G622" s="30"/>
      <c r="H622" s="30"/>
      <c r="I622" s="30"/>
      <c r="J622" s="30"/>
      <c r="K622" s="30"/>
      <c r="L622" s="30"/>
      <c r="M622" s="30"/>
      <c r="N622" s="30"/>
    </row>
    <row r="623" spans="1:14" ht="12.75">
      <c r="A623" s="30"/>
      <c r="B623" s="30"/>
      <c r="C623" s="30"/>
      <c r="D623" s="30"/>
      <c r="E623" s="30"/>
      <c r="F623" s="30"/>
      <c r="G623" s="30"/>
      <c r="H623" s="30"/>
      <c r="I623" s="30"/>
      <c r="J623" s="30"/>
      <c r="K623" s="30"/>
      <c r="L623" s="30"/>
      <c r="M623" s="30"/>
      <c r="N623" s="30"/>
    </row>
    <row r="624" spans="1:14" ht="12.75">
      <c r="A624" s="30"/>
      <c r="B624" s="30"/>
      <c r="C624" s="30"/>
      <c r="D624" s="30"/>
      <c r="E624" s="30"/>
      <c r="F624" s="30"/>
      <c r="G624" s="30"/>
      <c r="H624" s="30"/>
      <c r="I624" s="30"/>
      <c r="J624" s="30"/>
      <c r="K624" s="30"/>
      <c r="L624" s="30"/>
      <c r="M624" s="30"/>
      <c r="N624" s="30"/>
    </row>
    <row r="625" spans="1:14" ht="12.75">
      <c r="A625" s="30"/>
      <c r="B625" s="30"/>
      <c r="C625" s="30"/>
      <c r="D625" s="30"/>
      <c r="E625" s="30"/>
      <c r="F625" s="30"/>
      <c r="G625" s="30"/>
      <c r="H625" s="30"/>
      <c r="I625" s="30"/>
      <c r="J625" s="30"/>
      <c r="K625" s="30"/>
      <c r="L625" s="30"/>
      <c r="M625" s="30"/>
      <c r="N625" s="30"/>
    </row>
    <row r="626" spans="1:14" ht="12.75">
      <c r="A626" s="30"/>
      <c r="B626" s="30"/>
      <c r="C626" s="30"/>
      <c r="D626" s="30"/>
      <c r="E626" s="30"/>
      <c r="F626" s="30"/>
      <c r="G626" s="30"/>
      <c r="H626" s="30"/>
      <c r="I626" s="30"/>
      <c r="J626" s="30"/>
      <c r="K626" s="30"/>
      <c r="L626" s="30"/>
      <c r="M626" s="30"/>
      <c r="N626" s="30"/>
    </row>
    <row r="627" spans="1:14" ht="12.75">
      <c r="A627" s="30"/>
      <c r="B627" s="30"/>
      <c r="C627" s="30"/>
      <c r="D627" s="30"/>
      <c r="E627" s="30"/>
      <c r="F627" s="30"/>
      <c r="G627" s="30"/>
      <c r="H627" s="30"/>
      <c r="I627" s="30"/>
      <c r="J627" s="30"/>
      <c r="K627" s="30"/>
      <c r="L627" s="30"/>
      <c r="M627" s="30"/>
      <c r="N627" s="30"/>
    </row>
    <row r="628" spans="1:14" ht="12.75">
      <c r="A628" s="30"/>
      <c r="B628" s="30"/>
      <c r="C628" s="30"/>
      <c r="D628" s="30"/>
      <c r="E628" s="30"/>
      <c r="F628" s="30"/>
      <c r="G628" s="30"/>
      <c r="H628" s="30"/>
      <c r="I628" s="30"/>
      <c r="J628" s="30"/>
      <c r="K628" s="30"/>
      <c r="L628" s="30"/>
      <c r="M628" s="30"/>
      <c r="N628" s="30"/>
    </row>
    <row r="629" spans="1:14" ht="12.75">
      <c r="A629" s="30"/>
      <c r="B629" s="30"/>
      <c r="C629" s="30"/>
      <c r="D629" s="30"/>
      <c r="E629" s="30"/>
      <c r="F629" s="30"/>
      <c r="G629" s="30"/>
      <c r="H629" s="30"/>
      <c r="I629" s="30"/>
      <c r="J629" s="30"/>
      <c r="K629" s="30"/>
      <c r="L629" s="30"/>
      <c r="M629" s="30"/>
      <c r="N629" s="30"/>
    </row>
    <row r="630" spans="1:14" ht="12.75">
      <c r="A630" s="30"/>
      <c r="B630" s="30"/>
      <c r="C630" s="30"/>
      <c r="D630" s="30"/>
      <c r="E630" s="30"/>
      <c r="F630" s="30"/>
      <c r="G630" s="30"/>
      <c r="H630" s="30"/>
      <c r="I630" s="30"/>
      <c r="J630" s="30"/>
      <c r="K630" s="30"/>
      <c r="L630" s="30"/>
      <c r="M630" s="30"/>
      <c r="N630" s="30"/>
    </row>
    <row r="631" spans="1:14" ht="12.75">
      <c r="A631" s="30"/>
      <c r="B631" s="30"/>
      <c r="C631" s="30"/>
      <c r="D631" s="30"/>
      <c r="E631" s="30"/>
      <c r="F631" s="30"/>
      <c r="G631" s="30"/>
      <c r="H631" s="30"/>
      <c r="I631" s="30"/>
      <c r="J631" s="30"/>
      <c r="K631" s="30"/>
      <c r="L631" s="30"/>
      <c r="M631" s="30"/>
      <c r="N631" s="30"/>
    </row>
    <row r="632" spans="1:14" ht="12.75">
      <c r="A632" s="30"/>
      <c r="B632" s="30"/>
      <c r="C632" s="30"/>
      <c r="D632" s="30"/>
      <c r="E632" s="30"/>
      <c r="F632" s="30"/>
      <c r="G632" s="30"/>
      <c r="H632" s="30"/>
      <c r="I632" s="30"/>
      <c r="J632" s="30"/>
      <c r="K632" s="30"/>
      <c r="L632" s="30"/>
      <c r="M632" s="30"/>
      <c r="N632" s="30"/>
    </row>
    <row r="633" spans="1:14" ht="12.75">
      <c r="A633" s="30"/>
      <c r="B633" s="30"/>
      <c r="C633" s="30"/>
      <c r="D633" s="30"/>
      <c r="E633" s="30"/>
      <c r="F633" s="30"/>
      <c r="G633" s="30"/>
      <c r="H633" s="30"/>
      <c r="I633" s="30"/>
      <c r="J633" s="30"/>
      <c r="K633" s="30"/>
      <c r="L633" s="30"/>
      <c r="M633" s="30"/>
      <c r="N633" s="30"/>
    </row>
    <row r="634" spans="1:14" ht="12.75">
      <c r="A634" s="30"/>
      <c r="B634" s="30"/>
      <c r="C634" s="30"/>
      <c r="D634" s="30"/>
      <c r="E634" s="30"/>
      <c r="F634" s="30"/>
      <c r="G634" s="30"/>
      <c r="H634" s="30"/>
      <c r="I634" s="30"/>
      <c r="J634" s="30"/>
      <c r="K634" s="30"/>
      <c r="L634" s="30"/>
      <c r="M634" s="30"/>
      <c r="N634" s="30"/>
    </row>
    <row r="635" spans="1:14" ht="12.75">
      <c r="A635" s="30"/>
      <c r="B635" s="30"/>
      <c r="C635" s="30"/>
      <c r="D635" s="30"/>
      <c r="E635" s="30"/>
      <c r="F635" s="30"/>
      <c r="G635" s="30"/>
      <c r="H635" s="30"/>
      <c r="I635" s="30"/>
      <c r="J635" s="30"/>
      <c r="K635" s="30"/>
      <c r="L635" s="30"/>
      <c r="M635" s="30"/>
      <c r="N635" s="30"/>
    </row>
    <row r="636" spans="1:14" ht="12.75">
      <c r="A636" s="30"/>
      <c r="B636" s="30"/>
      <c r="C636" s="30"/>
      <c r="D636" s="30"/>
      <c r="E636" s="30"/>
      <c r="F636" s="30"/>
      <c r="G636" s="30"/>
      <c r="H636" s="30"/>
      <c r="I636" s="30"/>
      <c r="J636" s="30"/>
      <c r="K636" s="30"/>
      <c r="L636" s="30"/>
      <c r="M636" s="30"/>
      <c r="N636" s="30"/>
    </row>
    <row r="637" spans="1:14" ht="12.75">
      <c r="A637" s="30"/>
      <c r="B637" s="30"/>
      <c r="C637" s="30"/>
      <c r="D637" s="30"/>
      <c r="E637" s="30"/>
      <c r="F637" s="30"/>
      <c r="G637" s="30"/>
      <c r="H637" s="30"/>
      <c r="I637" s="30"/>
      <c r="J637" s="30"/>
      <c r="K637" s="30"/>
      <c r="L637" s="30"/>
      <c r="M637" s="30"/>
      <c r="N637" s="30"/>
    </row>
    <row r="638" spans="1:14" ht="12.75">
      <c r="A638" s="30"/>
      <c r="B638" s="30"/>
      <c r="C638" s="30"/>
      <c r="D638" s="30"/>
      <c r="E638" s="30"/>
      <c r="F638" s="30"/>
      <c r="G638" s="30"/>
      <c r="H638" s="30"/>
      <c r="I638" s="30"/>
      <c r="J638" s="30"/>
      <c r="K638" s="30"/>
      <c r="L638" s="30"/>
      <c r="M638" s="30"/>
      <c r="N638" s="30"/>
    </row>
    <row r="639" spans="1:14" ht="12.75">
      <c r="A639" s="30"/>
      <c r="B639" s="30"/>
      <c r="C639" s="30"/>
      <c r="D639" s="30"/>
      <c r="E639" s="30"/>
      <c r="F639" s="30"/>
      <c r="G639" s="30"/>
      <c r="H639" s="30"/>
      <c r="I639" s="30"/>
      <c r="J639" s="30"/>
      <c r="K639" s="30"/>
      <c r="L639" s="30"/>
      <c r="M639" s="30"/>
      <c r="N639" s="30"/>
    </row>
    <row r="640" spans="1:14" ht="12.75">
      <c r="A640" s="30"/>
      <c r="B640" s="30"/>
      <c r="C640" s="30"/>
      <c r="D640" s="30"/>
      <c r="E640" s="30"/>
      <c r="F640" s="30"/>
      <c r="G640" s="30"/>
      <c r="H640" s="30"/>
      <c r="I640" s="30"/>
      <c r="J640" s="30"/>
      <c r="K640" s="30"/>
      <c r="L640" s="30"/>
      <c r="M640" s="30"/>
      <c r="N640" s="30"/>
    </row>
    <row r="641" spans="1:14" ht="12.75">
      <c r="A641" s="30"/>
      <c r="B641" s="30"/>
      <c r="C641" s="30"/>
      <c r="D641" s="30"/>
      <c r="E641" s="30"/>
      <c r="F641" s="30"/>
      <c r="G641" s="30"/>
      <c r="H641" s="30"/>
      <c r="I641" s="30"/>
      <c r="J641" s="30"/>
      <c r="K641" s="30"/>
      <c r="L641" s="30"/>
      <c r="M641" s="30"/>
      <c r="N641" s="30"/>
    </row>
    <row r="642" spans="1:14" ht="12.75">
      <c r="A642" s="30"/>
      <c r="B642" s="30"/>
      <c r="C642" s="30"/>
      <c r="D642" s="30"/>
      <c r="E642" s="30"/>
      <c r="F642" s="30"/>
      <c r="G642" s="30"/>
      <c r="H642" s="30"/>
      <c r="I642" s="30"/>
      <c r="J642" s="30"/>
      <c r="K642" s="30"/>
      <c r="L642" s="30"/>
      <c r="M642" s="30"/>
      <c r="N642" s="30"/>
    </row>
    <row r="643" spans="1:14" ht="12.75">
      <c r="A643" s="30"/>
      <c r="B643" s="30"/>
      <c r="C643" s="30"/>
      <c r="D643" s="30"/>
      <c r="E643" s="30"/>
      <c r="F643" s="30"/>
      <c r="G643" s="30"/>
      <c r="H643" s="30"/>
      <c r="I643" s="30"/>
      <c r="J643" s="30"/>
      <c r="K643" s="30"/>
      <c r="L643" s="30"/>
      <c r="M643" s="30"/>
      <c r="N643" s="30"/>
    </row>
    <row r="644" spans="1:14" ht="12.75">
      <c r="A644" s="30"/>
      <c r="B644" s="30"/>
      <c r="C644" s="30"/>
      <c r="D644" s="30"/>
      <c r="E644" s="30"/>
      <c r="F644" s="30"/>
      <c r="G644" s="30"/>
      <c r="H644" s="30"/>
      <c r="I644" s="30"/>
      <c r="J644" s="30"/>
      <c r="K644" s="30"/>
      <c r="L644" s="30"/>
      <c r="M644" s="30"/>
      <c r="N644" s="30"/>
    </row>
    <row r="645" spans="1:14" ht="12.75">
      <c r="A645" s="30"/>
      <c r="B645" s="30"/>
      <c r="C645" s="30"/>
      <c r="D645" s="30"/>
      <c r="E645" s="30"/>
      <c r="F645" s="30"/>
      <c r="G645" s="30"/>
      <c r="H645" s="30"/>
      <c r="I645" s="30"/>
      <c r="J645" s="30"/>
      <c r="K645" s="30"/>
      <c r="L645" s="30"/>
      <c r="M645" s="30"/>
      <c r="N645" s="30"/>
    </row>
    <row r="646" spans="1:14" ht="12.75">
      <c r="A646" s="30"/>
      <c r="B646" s="30"/>
      <c r="C646" s="30"/>
      <c r="D646" s="30"/>
      <c r="E646" s="30"/>
      <c r="F646" s="30"/>
      <c r="G646" s="30"/>
      <c r="H646" s="30"/>
      <c r="I646" s="30"/>
      <c r="J646" s="30"/>
      <c r="K646" s="30"/>
      <c r="L646" s="30"/>
      <c r="M646" s="30"/>
      <c r="N646" s="30"/>
    </row>
    <row r="647" spans="1:14" ht="12.75">
      <c r="A647" s="30"/>
      <c r="B647" s="30"/>
      <c r="C647" s="30"/>
      <c r="D647" s="30"/>
      <c r="E647" s="30"/>
      <c r="F647" s="30"/>
      <c r="G647" s="30"/>
      <c r="H647" s="30"/>
      <c r="I647" s="30"/>
      <c r="J647" s="30"/>
      <c r="K647" s="30"/>
      <c r="L647" s="30"/>
      <c r="M647" s="30"/>
      <c r="N647" s="30"/>
    </row>
    <row r="648" spans="1:14" ht="12.75">
      <c r="A648" s="30"/>
      <c r="B648" s="30"/>
      <c r="C648" s="30"/>
      <c r="D648" s="30"/>
      <c r="E648" s="30"/>
      <c r="F648" s="30"/>
      <c r="G648" s="30"/>
      <c r="H648" s="30"/>
      <c r="I648" s="30"/>
      <c r="J648" s="30"/>
      <c r="K648" s="30"/>
      <c r="L648" s="30"/>
      <c r="M648" s="30"/>
      <c r="N648" s="30"/>
    </row>
    <row r="649" spans="1:14" ht="12.75">
      <c r="A649" s="30"/>
      <c r="B649" s="30"/>
      <c r="C649" s="30"/>
      <c r="D649" s="30"/>
      <c r="E649" s="30"/>
      <c r="F649" s="30"/>
      <c r="G649" s="30"/>
      <c r="H649" s="30"/>
      <c r="I649" s="30"/>
      <c r="J649" s="30"/>
      <c r="K649" s="30"/>
      <c r="L649" s="30"/>
      <c r="M649" s="30"/>
      <c r="N649" s="30"/>
    </row>
    <row r="650" spans="1:14" ht="12.75">
      <c r="A650" s="30"/>
      <c r="B650" s="30"/>
      <c r="C650" s="30"/>
      <c r="D650" s="30"/>
      <c r="E650" s="30"/>
      <c r="F650" s="30"/>
      <c r="G650" s="30"/>
      <c r="H650" s="30"/>
      <c r="I650" s="30"/>
      <c r="J650" s="30"/>
      <c r="K650" s="30"/>
      <c r="L650" s="30"/>
      <c r="M650" s="30"/>
      <c r="N650" s="30"/>
    </row>
    <row r="651" spans="1:14" ht="12.75">
      <c r="A651" s="30"/>
      <c r="B651" s="30"/>
      <c r="C651" s="30"/>
      <c r="D651" s="30"/>
      <c r="E651" s="30"/>
      <c r="F651" s="30"/>
      <c r="G651" s="30"/>
      <c r="H651" s="30"/>
      <c r="I651" s="30"/>
      <c r="J651" s="30"/>
      <c r="K651" s="30"/>
      <c r="L651" s="30"/>
      <c r="M651" s="30"/>
      <c r="N651" s="30"/>
    </row>
    <row r="652" spans="1:14" ht="12.75">
      <c r="A652" s="30"/>
      <c r="B652" s="30"/>
      <c r="C652" s="30"/>
      <c r="D652" s="30"/>
      <c r="E652" s="30"/>
      <c r="F652" s="30"/>
      <c r="G652" s="30"/>
      <c r="H652" s="30"/>
      <c r="I652" s="30"/>
      <c r="J652" s="30"/>
      <c r="K652" s="30"/>
      <c r="L652" s="30"/>
      <c r="M652" s="30"/>
      <c r="N652" s="30"/>
    </row>
    <row r="653" spans="1:14" ht="12.75">
      <c r="A653" s="30"/>
      <c r="B653" s="30"/>
      <c r="C653" s="30"/>
      <c r="D653" s="30"/>
      <c r="E653" s="30"/>
      <c r="F653" s="30"/>
      <c r="G653" s="30"/>
      <c r="H653" s="30"/>
      <c r="I653" s="30"/>
      <c r="J653" s="30"/>
      <c r="K653" s="30"/>
      <c r="L653" s="30"/>
      <c r="M653" s="30"/>
      <c r="N653" s="30"/>
    </row>
    <row r="654" spans="1:14" ht="12.75">
      <c r="A654" s="30"/>
      <c r="B654" s="30"/>
      <c r="C654" s="30"/>
      <c r="D654" s="30"/>
      <c r="E654" s="30"/>
      <c r="F654" s="30"/>
      <c r="G654" s="30"/>
      <c r="H654" s="30"/>
      <c r="I654" s="30"/>
      <c r="J654" s="30"/>
      <c r="K654" s="30"/>
      <c r="L654" s="30"/>
      <c r="M654" s="30"/>
      <c r="N654" s="30"/>
    </row>
    <row r="655" spans="1:14" ht="12.75">
      <c r="A655" s="30"/>
      <c r="B655" s="30"/>
      <c r="C655" s="30"/>
      <c r="D655" s="30"/>
      <c r="E655" s="30"/>
      <c r="F655" s="30"/>
      <c r="G655" s="30"/>
      <c r="H655" s="30"/>
      <c r="I655" s="30"/>
      <c r="J655" s="30"/>
      <c r="K655" s="30"/>
      <c r="L655" s="30"/>
      <c r="M655" s="30"/>
      <c r="N655" s="30"/>
    </row>
    <row r="656" spans="1:14" ht="12.75">
      <c r="A656" s="30"/>
      <c r="B656" s="30"/>
      <c r="C656" s="30"/>
      <c r="D656" s="30"/>
      <c r="E656" s="30"/>
      <c r="F656" s="30"/>
      <c r="G656" s="30"/>
      <c r="H656" s="30"/>
      <c r="I656" s="30"/>
      <c r="J656" s="30"/>
      <c r="K656" s="30"/>
      <c r="L656" s="30"/>
      <c r="M656" s="30"/>
      <c r="N656" s="30"/>
    </row>
    <row r="657" spans="1:14" ht="12.75">
      <c r="A657" s="30"/>
      <c r="B657" s="30"/>
      <c r="C657" s="30"/>
      <c r="D657" s="30"/>
      <c r="E657" s="30"/>
      <c r="F657" s="30"/>
      <c r="G657" s="30"/>
      <c r="H657" s="30"/>
      <c r="I657" s="30"/>
      <c r="J657" s="30"/>
      <c r="K657" s="30"/>
      <c r="L657" s="30"/>
      <c r="M657" s="30"/>
      <c r="N657" s="30"/>
    </row>
    <row r="658" spans="1:14" ht="12.75">
      <c r="A658" s="30"/>
      <c r="B658" s="30"/>
      <c r="C658" s="30"/>
      <c r="D658" s="30"/>
      <c r="E658" s="30"/>
      <c r="F658" s="30"/>
      <c r="G658" s="30"/>
      <c r="H658" s="30"/>
      <c r="I658" s="30"/>
      <c r="J658" s="30"/>
      <c r="K658" s="30"/>
      <c r="L658" s="30"/>
      <c r="M658" s="30"/>
      <c r="N658" s="30"/>
    </row>
    <row r="659" spans="1:14" ht="12.75">
      <c r="A659" s="30"/>
      <c r="B659" s="30"/>
      <c r="C659" s="30"/>
      <c r="D659" s="30"/>
      <c r="E659" s="30"/>
      <c r="F659" s="30"/>
      <c r="G659" s="30"/>
      <c r="H659" s="30"/>
      <c r="I659" s="30"/>
      <c r="J659" s="30"/>
      <c r="K659" s="30"/>
      <c r="L659" s="30"/>
      <c r="M659" s="30"/>
      <c r="N659" s="30"/>
    </row>
    <row r="660" spans="1:14" ht="12.75">
      <c r="A660" s="30"/>
      <c r="B660" s="30"/>
      <c r="C660" s="30"/>
      <c r="D660" s="30"/>
      <c r="E660" s="30"/>
      <c r="F660" s="30"/>
      <c r="G660" s="30"/>
      <c r="H660" s="30"/>
      <c r="I660" s="30"/>
      <c r="J660" s="30"/>
      <c r="K660" s="30"/>
      <c r="L660" s="30"/>
      <c r="M660" s="30"/>
      <c r="N660" s="30"/>
    </row>
    <row r="661" spans="1:14" ht="12.75">
      <c r="A661" s="30"/>
      <c r="B661" s="30"/>
      <c r="C661" s="30"/>
      <c r="D661" s="30"/>
      <c r="E661" s="30"/>
      <c r="F661" s="30"/>
      <c r="G661" s="30"/>
      <c r="H661" s="30"/>
      <c r="I661" s="30"/>
      <c r="J661" s="30"/>
      <c r="K661" s="30"/>
      <c r="L661" s="30"/>
      <c r="M661" s="30"/>
      <c r="N661" s="30"/>
    </row>
    <row r="662" spans="1:14" ht="12.75">
      <c r="A662" s="30"/>
      <c r="B662" s="30"/>
      <c r="C662" s="30"/>
      <c r="D662" s="30"/>
      <c r="E662" s="30"/>
      <c r="F662" s="30"/>
      <c r="G662" s="30"/>
      <c r="H662" s="30"/>
      <c r="I662" s="30"/>
      <c r="J662" s="30"/>
      <c r="K662" s="30"/>
      <c r="L662" s="30"/>
      <c r="M662" s="30"/>
      <c r="N662" s="30"/>
    </row>
    <row r="663" spans="1:14" ht="12.75">
      <c r="A663" s="30"/>
      <c r="B663" s="30"/>
      <c r="C663" s="30"/>
      <c r="D663" s="30"/>
      <c r="E663" s="30"/>
      <c r="F663" s="30"/>
      <c r="G663" s="30"/>
      <c r="H663" s="30"/>
      <c r="I663" s="30"/>
      <c r="J663" s="30"/>
      <c r="K663" s="30"/>
      <c r="L663" s="30"/>
      <c r="M663" s="30"/>
      <c r="N663" s="30"/>
    </row>
    <row r="664" spans="1:14" ht="12.75">
      <c r="A664" s="30"/>
      <c r="B664" s="30"/>
      <c r="C664" s="30"/>
      <c r="D664" s="30"/>
      <c r="E664" s="30"/>
      <c r="F664" s="30"/>
      <c r="G664" s="30"/>
      <c r="H664" s="30"/>
      <c r="I664" s="30"/>
      <c r="J664" s="30"/>
      <c r="K664" s="30"/>
      <c r="L664" s="30"/>
      <c r="M664" s="30"/>
      <c r="N664" s="30"/>
    </row>
    <row r="665" spans="1:14" ht="12.75">
      <c r="A665" s="30"/>
      <c r="B665" s="30"/>
      <c r="C665" s="30"/>
      <c r="D665" s="30"/>
      <c r="E665" s="30"/>
      <c r="F665" s="30"/>
      <c r="G665" s="30"/>
      <c r="H665" s="30"/>
      <c r="I665" s="30"/>
      <c r="J665" s="30"/>
      <c r="K665" s="30"/>
      <c r="L665" s="30"/>
      <c r="M665" s="30"/>
      <c r="N665" s="30"/>
    </row>
    <row r="666" spans="1:14" ht="12.75">
      <c r="A666" s="30"/>
      <c r="B666" s="30"/>
      <c r="C666" s="30"/>
      <c r="D666" s="30"/>
      <c r="E666" s="30"/>
      <c r="F666" s="30"/>
      <c r="G666" s="30"/>
      <c r="H666" s="30"/>
      <c r="I666" s="30"/>
      <c r="J666" s="30"/>
      <c r="K666" s="30"/>
      <c r="L666" s="30"/>
      <c r="M666" s="30"/>
      <c r="N666" s="30"/>
    </row>
    <row r="667" spans="1:14" ht="12.75">
      <c r="A667" s="30"/>
      <c r="B667" s="30"/>
      <c r="C667" s="30"/>
      <c r="D667" s="30"/>
      <c r="E667" s="30"/>
      <c r="F667" s="30"/>
      <c r="G667" s="30"/>
      <c r="H667" s="30"/>
      <c r="I667" s="30"/>
      <c r="J667" s="30"/>
      <c r="K667" s="30"/>
      <c r="L667" s="30"/>
      <c r="M667" s="30"/>
      <c r="N667" s="30"/>
    </row>
    <row r="668" spans="1:14" ht="12.75">
      <c r="A668" s="30"/>
      <c r="B668" s="30"/>
      <c r="C668" s="30"/>
      <c r="D668" s="30"/>
      <c r="E668" s="30"/>
      <c r="F668" s="30"/>
      <c r="G668" s="30"/>
      <c r="H668" s="30"/>
      <c r="I668" s="30"/>
      <c r="J668" s="30"/>
      <c r="K668" s="30"/>
      <c r="L668" s="30"/>
      <c r="M668" s="30"/>
      <c r="N668" s="30"/>
    </row>
    <row r="669" spans="1:14" ht="12.75">
      <c r="A669" s="30"/>
      <c r="B669" s="30"/>
      <c r="C669" s="30"/>
      <c r="D669" s="30"/>
      <c r="E669" s="30"/>
      <c r="F669" s="30"/>
      <c r="G669" s="30"/>
      <c r="H669" s="30"/>
      <c r="I669" s="30"/>
      <c r="J669" s="30"/>
      <c r="K669" s="30"/>
      <c r="L669" s="30"/>
      <c r="M669" s="30"/>
      <c r="N669" s="30"/>
    </row>
    <row r="670" spans="1:14" ht="12.75">
      <c r="A670" s="30"/>
      <c r="B670" s="30"/>
      <c r="C670" s="30"/>
      <c r="D670" s="30"/>
      <c r="E670" s="30"/>
      <c r="F670" s="30"/>
      <c r="G670" s="30"/>
      <c r="H670" s="30"/>
      <c r="I670" s="30"/>
      <c r="J670" s="30"/>
      <c r="K670" s="30"/>
      <c r="L670" s="30"/>
      <c r="M670" s="30"/>
      <c r="N670" s="30"/>
    </row>
    <row r="671" spans="1:14" ht="12.75">
      <c r="A671" s="30"/>
      <c r="B671" s="30"/>
      <c r="C671" s="30"/>
      <c r="D671" s="30"/>
      <c r="E671" s="30"/>
      <c r="F671" s="30"/>
      <c r="G671" s="30"/>
      <c r="H671" s="30"/>
      <c r="I671" s="30"/>
      <c r="J671" s="30"/>
      <c r="K671" s="30"/>
      <c r="L671" s="30"/>
      <c r="M671" s="30"/>
      <c r="N671" s="30"/>
    </row>
    <row r="672" spans="1:14" ht="12.75">
      <c r="A672" s="30"/>
      <c r="B672" s="30"/>
      <c r="C672" s="30"/>
      <c r="D672" s="30"/>
      <c r="E672" s="30"/>
      <c r="F672" s="30"/>
      <c r="G672" s="30"/>
      <c r="H672" s="30"/>
      <c r="I672" s="30"/>
      <c r="J672" s="30"/>
      <c r="K672" s="30"/>
      <c r="L672" s="30"/>
      <c r="M672" s="30"/>
      <c r="N672" s="30"/>
    </row>
    <row r="673" spans="1:14" ht="12.75">
      <c r="A673" s="30"/>
      <c r="B673" s="30"/>
      <c r="C673" s="30"/>
      <c r="D673" s="30"/>
      <c r="E673" s="30"/>
      <c r="F673" s="30"/>
      <c r="G673" s="30"/>
      <c r="H673" s="30"/>
      <c r="I673" s="30"/>
      <c r="J673" s="30"/>
      <c r="K673" s="30"/>
      <c r="L673" s="30"/>
      <c r="M673" s="30"/>
      <c r="N673" s="30"/>
    </row>
    <row r="674" spans="1:14" ht="12.75">
      <c r="A674" s="30"/>
      <c r="B674" s="30"/>
      <c r="C674" s="30"/>
      <c r="D674" s="30"/>
      <c r="E674" s="30"/>
      <c r="F674" s="30"/>
      <c r="G674" s="30"/>
      <c r="H674" s="30"/>
      <c r="I674" s="30"/>
      <c r="J674" s="30"/>
      <c r="K674" s="30"/>
      <c r="L674" s="30"/>
      <c r="M674" s="30"/>
      <c r="N674" s="30"/>
    </row>
    <row r="675" spans="1:14" ht="12.75">
      <c r="A675" s="30"/>
      <c r="B675" s="30"/>
      <c r="C675" s="30"/>
      <c r="D675" s="30"/>
      <c r="E675" s="30"/>
      <c r="F675" s="30"/>
      <c r="G675" s="30"/>
      <c r="H675" s="30"/>
      <c r="I675" s="30"/>
      <c r="J675" s="30"/>
      <c r="K675" s="30"/>
      <c r="L675" s="30"/>
      <c r="M675" s="30"/>
      <c r="N675" s="30"/>
    </row>
    <row r="676" spans="1:14" ht="12.75">
      <c r="A676" s="30"/>
      <c r="B676" s="30"/>
      <c r="C676" s="30"/>
      <c r="D676" s="30"/>
      <c r="E676" s="30"/>
      <c r="F676" s="30"/>
      <c r="G676" s="30"/>
      <c r="H676" s="30"/>
      <c r="I676" s="30"/>
      <c r="J676" s="30"/>
      <c r="K676" s="30"/>
      <c r="L676" s="30"/>
      <c r="M676" s="30"/>
      <c r="N676" s="30"/>
    </row>
    <row r="677" spans="1:14" ht="12.75">
      <c r="A677" s="30"/>
      <c r="B677" s="30"/>
      <c r="C677" s="30"/>
      <c r="D677" s="30"/>
      <c r="E677" s="30"/>
      <c r="F677" s="30"/>
      <c r="G677" s="30"/>
      <c r="H677" s="30"/>
      <c r="I677" s="30"/>
      <c r="J677" s="30"/>
      <c r="K677" s="30"/>
      <c r="L677" s="30"/>
      <c r="M677" s="30"/>
      <c r="N677" s="30"/>
    </row>
    <row r="678" spans="1:14" ht="12.75">
      <c r="A678" s="30"/>
      <c r="B678" s="30"/>
      <c r="C678" s="30"/>
      <c r="D678" s="30"/>
      <c r="E678" s="30"/>
      <c r="F678" s="30"/>
      <c r="G678" s="30"/>
      <c r="H678" s="30"/>
      <c r="I678" s="30"/>
      <c r="J678" s="30"/>
      <c r="K678" s="30"/>
      <c r="L678" s="30"/>
      <c r="M678" s="30"/>
      <c r="N678" s="30"/>
    </row>
    <row r="679" spans="1:14" ht="12.75">
      <c r="A679" s="30"/>
      <c r="B679" s="30"/>
      <c r="C679" s="30"/>
      <c r="D679" s="30"/>
      <c r="E679" s="30"/>
      <c r="F679" s="30"/>
      <c r="G679" s="30"/>
      <c r="H679" s="30"/>
      <c r="I679" s="30"/>
      <c r="J679" s="30"/>
      <c r="K679" s="30"/>
      <c r="L679" s="30"/>
      <c r="M679" s="30"/>
      <c r="N679" s="30"/>
    </row>
    <row r="680" spans="1:14" ht="12.75">
      <c r="A680" s="30"/>
      <c r="B680" s="30"/>
      <c r="C680" s="30"/>
      <c r="D680" s="30"/>
      <c r="E680" s="30"/>
      <c r="F680" s="30"/>
      <c r="G680" s="30"/>
      <c r="H680" s="30"/>
      <c r="I680" s="30"/>
      <c r="J680" s="30"/>
      <c r="K680" s="30"/>
      <c r="L680" s="30"/>
      <c r="M680" s="30"/>
      <c r="N680" s="30"/>
    </row>
    <row r="681" spans="1:14" ht="12.75">
      <c r="A681" s="30"/>
      <c r="B681" s="30"/>
      <c r="C681" s="30"/>
      <c r="D681" s="30"/>
      <c r="E681" s="30"/>
      <c r="F681" s="30"/>
      <c r="G681" s="30"/>
      <c r="H681" s="30"/>
      <c r="I681" s="30"/>
      <c r="J681" s="30"/>
      <c r="K681" s="30"/>
      <c r="L681" s="30"/>
      <c r="M681" s="30"/>
      <c r="N681" s="30"/>
    </row>
    <row r="682" spans="1:14" ht="12.75">
      <c r="A682" s="30"/>
      <c r="B682" s="30"/>
      <c r="C682" s="30"/>
      <c r="D682" s="30"/>
      <c r="E682" s="30"/>
      <c r="F682" s="30"/>
      <c r="G682" s="30"/>
      <c r="H682" s="30"/>
      <c r="I682" s="30"/>
      <c r="J682" s="30"/>
      <c r="K682" s="30"/>
      <c r="L682" s="30"/>
      <c r="M682" s="30"/>
      <c r="N682" s="30"/>
    </row>
    <row r="683" spans="1:14" ht="12.75">
      <c r="A683" s="30"/>
      <c r="B683" s="30"/>
      <c r="C683" s="30"/>
      <c r="D683" s="30"/>
      <c r="E683" s="30"/>
      <c r="F683" s="30"/>
      <c r="G683" s="30"/>
      <c r="H683" s="30"/>
      <c r="I683" s="30"/>
      <c r="J683" s="30"/>
      <c r="K683" s="30"/>
      <c r="L683" s="30"/>
      <c r="M683" s="30"/>
      <c r="N683" s="30"/>
    </row>
    <row r="684" spans="1:14" ht="12.75">
      <c r="A684" s="30"/>
      <c r="B684" s="30"/>
      <c r="C684" s="30"/>
      <c r="D684" s="30"/>
      <c r="E684" s="30"/>
      <c r="F684" s="30"/>
      <c r="G684" s="30"/>
      <c r="H684" s="30"/>
      <c r="I684" s="30"/>
      <c r="J684" s="30"/>
      <c r="K684" s="30"/>
      <c r="L684" s="30"/>
      <c r="M684" s="30"/>
      <c r="N684" s="30"/>
    </row>
    <row r="685" spans="1:14" ht="12.75">
      <c r="A685" s="30"/>
      <c r="B685" s="30"/>
      <c r="C685" s="30"/>
      <c r="D685" s="30"/>
      <c r="E685" s="30"/>
      <c r="F685" s="30"/>
      <c r="G685" s="30"/>
      <c r="H685" s="30"/>
      <c r="I685" s="30"/>
      <c r="J685" s="30"/>
      <c r="K685" s="30"/>
      <c r="L685" s="30"/>
      <c r="M685" s="30"/>
      <c r="N685" s="30"/>
    </row>
    <row r="686" spans="1:14" ht="12.75">
      <c r="A686" s="30"/>
      <c r="B686" s="30"/>
      <c r="C686" s="30"/>
      <c r="D686" s="30"/>
      <c r="E686" s="30"/>
      <c r="F686" s="30"/>
      <c r="G686" s="30"/>
      <c r="H686" s="30"/>
      <c r="I686" s="30"/>
      <c r="J686" s="30"/>
      <c r="K686" s="30"/>
      <c r="L686" s="30"/>
      <c r="M686" s="30"/>
      <c r="N686" s="30"/>
    </row>
    <row r="687" spans="1:14" ht="12.75">
      <c r="A687" s="30"/>
      <c r="B687" s="30"/>
      <c r="C687" s="30"/>
      <c r="D687" s="30"/>
      <c r="E687" s="30"/>
      <c r="F687" s="30"/>
      <c r="G687" s="30"/>
      <c r="H687" s="30"/>
      <c r="I687" s="30"/>
      <c r="J687" s="30"/>
      <c r="K687" s="30"/>
      <c r="L687" s="30"/>
      <c r="M687" s="30"/>
      <c r="N687" s="30"/>
    </row>
    <row r="688" spans="1:14" ht="12.75">
      <c r="A688" s="30"/>
      <c r="B688" s="30"/>
      <c r="C688" s="30"/>
      <c r="D688" s="30"/>
      <c r="E688" s="30"/>
      <c r="F688" s="30"/>
      <c r="G688" s="30"/>
      <c r="H688" s="30"/>
      <c r="I688" s="30"/>
      <c r="J688" s="30"/>
      <c r="K688" s="30"/>
      <c r="L688" s="30"/>
      <c r="M688" s="30"/>
      <c r="N688" s="30"/>
    </row>
    <row r="689" spans="1:14" ht="12.75">
      <c r="A689" s="30"/>
      <c r="B689" s="30"/>
      <c r="C689" s="30"/>
      <c r="D689" s="30"/>
      <c r="E689" s="30"/>
      <c r="F689" s="30"/>
      <c r="G689" s="30"/>
      <c r="H689" s="30"/>
      <c r="I689" s="30"/>
      <c r="J689" s="30"/>
      <c r="K689" s="30"/>
      <c r="L689" s="30"/>
      <c r="M689" s="30"/>
      <c r="N689" s="30"/>
    </row>
    <row r="690" spans="1:14" ht="12.75">
      <c r="A690" s="30"/>
      <c r="B690" s="30"/>
      <c r="C690" s="30"/>
      <c r="D690" s="30"/>
      <c r="E690" s="30"/>
      <c r="F690" s="30"/>
      <c r="G690" s="30"/>
      <c r="H690" s="30"/>
      <c r="I690" s="30"/>
      <c r="J690" s="30"/>
      <c r="K690" s="30"/>
      <c r="L690" s="30"/>
      <c r="M690" s="30"/>
      <c r="N690" s="30"/>
    </row>
    <row r="691" spans="1:14" ht="12.75">
      <c r="A691" s="30"/>
      <c r="B691" s="30"/>
      <c r="C691" s="30"/>
      <c r="D691" s="30"/>
      <c r="E691" s="30"/>
      <c r="F691" s="30"/>
      <c r="G691" s="30"/>
      <c r="H691" s="30"/>
      <c r="I691" s="30"/>
      <c r="J691" s="30"/>
      <c r="K691" s="30"/>
      <c r="L691" s="30"/>
      <c r="M691" s="30"/>
      <c r="N691" s="30"/>
    </row>
    <row r="692" spans="1:14" ht="12.75">
      <c r="A692" s="30"/>
      <c r="B692" s="30"/>
      <c r="C692" s="30"/>
      <c r="D692" s="30"/>
      <c r="E692" s="30"/>
      <c r="F692" s="30"/>
      <c r="G692" s="30"/>
      <c r="H692" s="30"/>
      <c r="I692" s="30"/>
      <c r="J692" s="30"/>
      <c r="K692" s="30"/>
      <c r="L692" s="30"/>
      <c r="M692" s="30"/>
      <c r="N692" s="30"/>
    </row>
    <row r="693" spans="1:14" ht="12.75">
      <c r="A693" s="30"/>
      <c r="B693" s="30"/>
      <c r="C693" s="30"/>
      <c r="D693" s="30"/>
      <c r="E693" s="30"/>
      <c r="F693" s="30"/>
      <c r="G693" s="30"/>
      <c r="H693" s="30"/>
      <c r="I693" s="30"/>
      <c r="J693" s="30"/>
      <c r="K693" s="30"/>
      <c r="L693" s="30"/>
      <c r="M693" s="30"/>
      <c r="N693" s="30"/>
    </row>
    <row r="694" spans="1:14" ht="12.75">
      <c r="A694" s="30"/>
      <c r="B694" s="30"/>
      <c r="C694" s="30"/>
      <c r="D694" s="30"/>
      <c r="E694" s="30"/>
      <c r="F694" s="30"/>
      <c r="G694" s="30"/>
      <c r="H694" s="30"/>
      <c r="I694" s="30"/>
      <c r="J694" s="30"/>
      <c r="K694" s="30"/>
      <c r="L694" s="30"/>
      <c r="M694" s="30"/>
      <c r="N694" s="30"/>
    </row>
    <row r="695" spans="1:14" ht="12.75">
      <c r="A695" s="30"/>
      <c r="B695" s="30"/>
      <c r="C695" s="30"/>
      <c r="D695" s="30"/>
      <c r="E695" s="30"/>
      <c r="F695" s="30"/>
      <c r="G695" s="30"/>
      <c r="H695" s="30"/>
      <c r="I695" s="30"/>
      <c r="J695" s="30"/>
      <c r="K695" s="30"/>
      <c r="L695" s="30"/>
      <c r="M695" s="30"/>
      <c r="N695" s="30"/>
    </row>
    <row r="696" spans="1:14" ht="12.75">
      <c r="A696" s="30"/>
      <c r="B696" s="30"/>
      <c r="C696" s="30"/>
      <c r="D696" s="30"/>
      <c r="E696" s="30"/>
      <c r="F696" s="30"/>
      <c r="G696" s="30"/>
      <c r="H696" s="30"/>
      <c r="I696" s="30"/>
      <c r="J696" s="30"/>
      <c r="K696" s="30"/>
      <c r="L696" s="30"/>
      <c r="M696" s="30"/>
      <c r="N696" s="30"/>
    </row>
    <row r="697" spans="1:14" ht="12.75">
      <c r="A697" s="30"/>
      <c r="B697" s="30"/>
      <c r="C697" s="30"/>
      <c r="D697" s="30"/>
      <c r="E697" s="30"/>
      <c r="F697" s="30"/>
      <c r="G697" s="30"/>
      <c r="H697" s="30"/>
      <c r="I697" s="30"/>
      <c r="J697" s="30"/>
      <c r="K697" s="30"/>
      <c r="L697" s="30"/>
      <c r="M697" s="30"/>
      <c r="N697" s="30"/>
    </row>
    <row r="698" spans="1:14" ht="12.75">
      <c r="A698" s="30"/>
      <c r="B698" s="30"/>
      <c r="C698" s="30"/>
      <c r="D698" s="30"/>
      <c r="E698" s="30"/>
      <c r="F698" s="30"/>
      <c r="G698" s="30"/>
      <c r="H698" s="30"/>
      <c r="I698" s="30"/>
      <c r="J698" s="30"/>
      <c r="K698" s="30"/>
      <c r="L698" s="30"/>
      <c r="M698" s="30"/>
      <c r="N698" s="30"/>
    </row>
    <row r="699" spans="1:14" ht="12.75">
      <c r="A699" s="30"/>
      <c r="B699" s="30"/>
      <c r="C699" s="30"/>
      <c r="D699" s="30"/>
      <c r="E699" s="30"/>
      <c r="F699" s="30"/>
      <c r="G699" s="30"/>
      <c r="H699" s="30"/>
      <c r="I699" s="30"/>
      <c r="J699" s="30"/>
      <c r="K699" s="30"/>
      <c r="L699" s="30"/>
      <c r="M699" s="30"/>
      <c r="N699" s="30"/>
    </row>
    <row r="700" spans="1:14" ht="12.75">
      <c r="A700" s="30"/>
      <c r="B700" s="30"/>
      <c r="C700" s="30"/>
      <c r="D700" s="30"/>
      <c r="E700" s="30"/>
      <c r="F700" s="30"/>
      <c r="G700" s="30"/>
      <c r="H700" s="30"/>
      <c r="I700" s="30"/>
      <c r="J700" s="30"/>
      <c r="K700" s="30"/>
      <c r="L700" s="30"/>
      <c r="M700" s="30"/>
      <c r="N700" s="30"/>
    </row>
    <row r="701" spans="1:14" ht="12.75">
      <c r="A701" s="30"/>
      <c r="B701" s="30"/>
      <c r="C701" s="30"/>
      <c r="D701" s="30"/>
      <c r="E701" s="30"/>
      <c r="F701" s="30"/>
      <c r="G701" s="30"/>
      <c r="H701" s="30"/>
      <c r="I701" s="30"/>
      <c r="J701" s="30"/>
      <c r="K701" s="30"/>
      <c r="L701" s="30"/>
      <c r="M701" s="30"/>
      <c r="N701" s="30"/>
    </row>
    <row r="702" spans="1:14" ht="12.75">
      <c r="A702" s="30"/>
      <c r="B702" s="30"/>
      <c r="C702" s="30"/>
      <c r="D702" s="30"/>
      <c r="E702" s="30"/>
      <c r="F702" s="30"/>
      <c r="G702" s="30"/>
      <c r="H702" s="30"/>
      <c r="I702" s="30"/>
      <c r="J702" s="30"/>
      <c r="K702" s="30"/>
      <c r="L702" s="30"/>
      <c r="M702" s="30"/>
      <c r="N702" s="30"/>
    </row>
    <row r="703" spans="1:14" ht="12.75">
      <c r="A703" s="30"/>
      <c r="B703" s="30"/>
      <c r="C703" s="30"/>
      <c r="D703" s="30"/>
      <c r="E703" s="30"/>
      <c r="F703" s="30"/>
      <c r="G703" s="30"/>
      <c r="H703" s="30"/>
      <c r="I703" s="30"/>
      <c r="J703" s="30"/>
      <c r="K703" s="30"/>
      <c r="L703" s="30"/>
      <c r="M703" s="30"/>
      <c r="N703" s="30"/>
    </row>
    <row r="704" spans="1:14" ht="12.75">
      <c r="A704" s="30"/>
      <c r="B704" s="30"/>
      <c r="C704" s="30"/>
      <c r="D704" s="30"/>
      <c r="E704" s="30"/>
      <c r="F704" s="30"/>
      <c r="G704" s="30"/>
      <c r="H704" s="30"/>
      <c r="I704" s="30"/>
      <c r="J704" s="30"/>
      <c r="K704" s="30"/>
      <c r="L704" s="30"/>
      <c r="M704" s="30"/>
      <c r="N704" s="30"/>
    </row>
    <row r="705" spans="1:14" ht="12.75">
      <c r="A705" s="30"/>
      <c r="B705" s="30"/>
      <c r="C705" s="30"/>
      <c r="D705" s="30"/>
      <c r="E705" s="30"/>
      <c r="F705" s="30"/>
      <c r="G705" s="30"/>
      <c r="H705" s="30"/>
      <c r="I705" s="30"/>
      <c r="J705" s="30"/>
      <c r="K705" s="30"/>
      <c r="L705" s="30"/>
      <c r="M705" s="30"/>
      <c r="N705" s="30"/>
    </row>
    <row r="706" spans="1:14" ht="12.75">
      <c r="A706" s="30"/>
      <c r="B706" s="30"/>
      <c r="C706" s="30"/>
      <c r="D706" s="30"/>
      <c r="E706" s="30"/>
      <c r="F706" s="30"/>
      <c r="G706" s="30"/>
      <c r="H706" s="30"/>
      <c r="I706" s="30"/>
      <c r="J706" s="30"/>
      <c r="K706" s="30"/>
      <c r="L706" s="30"/>
      <c r="M706" s="30"/>
      <c r="N706" s="30"/>
    </row>
    <row r="707" spans="1:14" ht="12.75">
      <c r="A707" s="30"/>
      <c r="B707" s="30"/>
      <c r="C707" s="30"/>
      <c r="D707" s="30"/>
      <c r="E707" s="30"/>
      <c r="F707" s="30"/>
      <c r="G707" s="30"/>
      <c r="H707" s="30"/>
      <c r="I707" s="30"/>
      <c r="J707" s="30"/>
      <c r="K707" s="30"/>
      <c r="L707" s="30"/>
      <c r="M707" s="30"/>
      <c r="N707" s="30"/>
    </row>
    <row r="708" spans="1:14" ht="12.75">
      <c r="A708" s="30"/>
      <c r="B708" s="30"/>
      <c r="C708" s="30"/>
      <c r="D708" s="30"/>
      <c r="E708" s="30"/>
      <c r="F708" s="30"/>
      <c r="G708" s="30"/>
      <c r="H708" s="30"/>
      <c r="I708" s="30"/>
      <c r="J708" s="30"/>
      <c r="K708" s="30"/>
      <c r="L708" s="30"/>
      <c r="M708" s="30"/>
      <c r="N708" s="30"/>
    </row>
    <row r="709" spans="1:14" ht="12.75">
      <c r="A709" s="30"/>
      <c r="B709" s="30"/>
      <c r="C709" s="30"/>
      <c r="D709" s="30"/>
      <c r="E709" s="30"/>
      <c r="F709" s="30"/>
      <c r="G709" s="30"/>
      <c r="H709" s="30"/>
      <c r="I709" s="30"/>
      <c r="J709" s="30"/>
      <c r="K709" s="30"/>
      <c r="L709" s="30"/>
      <c r="M709" s="30"/>
      <c r="N709" s="30"/>
    </row>
    <row r="710" spans="1:14" ht="12.75">
      <c r="A710" s="30"/>
      <c r="B710" s="30"/>
      <c r="C710" s="30"/>
      <c r="D710" s="30"/>
      <c r="E710" s="30"/>
      <c r="F710" s="30"/>
      <c r="G710" s="30"/>
      <c r="H710" s="30"/>
      <c r="I710" s="30"/>
      <c r="J710" s="30"/>
      <c r="K710" s="30"/>
      <c r="L710" s="30"/>
      <c r="M710" s="30"/>
      <c r="N710" s="30"/>
    </row>
    <row r="711" spans="1:14" ht="12.75">
      <c r="A711" s="30"/>
      <c r="B711" s="30"/>
      <c r="C711" s="30"/>
      <c r="D711" s="30"/>
      <c r="E711" s="30"/>
      <c r="F711" s="30"/>
      <c r="G711" s="30"/>
      <c r="H711" s="30"/>
      <c r="I711" s="30"/>
      <c r="J711" s="30"/>
      <c r="K711" s="30"/>
      <c r="L711" s="30"/>
      <c r="M711" s="30"/>
      <c r="N711" s="30"/>
    </row>
    <row r="712" spans="1:14" ht="12.75">
      <c r="A712" s="30"/>
      <c r="B712" s="30"/>
      <c r="C712" s="30"/>
      <c r="D712" s="30"/>
      <c r="E712" s="30"/>
      <c r="F712" s="30"/>
      <c r="G712" s="30"/>
      <c r="H712" s="30"/>
      <c r="I712" s="30"/>
      <c r="J712" s="30"/>
      <c r="K712" s="30"/>
      <c r="L712" s="30"/>
      <c r="M712" s="30"/>
      <c r="N712" s="30"/>
    </row>
    <row r="713" spans="1:14" ht="12.75">
      <c r="A713" s="30"/>
      <c r="B713" s="30"/>
      <c r="C713" s="30"/>
      <c r="D713" s="30"/>
      <c r="E713" s="30"/>
      <c r="F713" s="30"/>
      <c r="G713" s="30"/>
      <c r="H713" s="30"/>
      <c r="I713" s="30"/>
      <c r="J713" s="30"/>
      <c r="K713" s="30"/>
      <c r="L713" s="30"/>
      <c r="M713" s="30"/>
      <c r="N713" s="30"/>
    </row>
    <row r="714" spans="1:14" ht="12.75">
      <c r="A714" s="30"/>
      <c r="B714" s="30"/>
      <c r="C714" s="30"/>
      <c r="D714" s="30"/>
      <c r="E714" s="30"/>
      <c r="F714" s="30"/>
      <c r="G714" s="30"/>
      <c r="H714" s="30"/>
      <c r="I714" s="30"/>
      <c r="J714" s="30"/>
      <c r="K714" s="30"/>
      <c r="L714" s="30"/>
      <c r="M714" s="30"/>
      <c r="N714" s="30"/>
    </row>
    <row r="715" spans="1:14" ht="12.75">
      <c r="A715" s="30"/>
      <c r="B715" s="30"/>
      <c r="C715" s="30"/>
      <c r="D715" s="30"/>
      <c r="E715" s="30"/>
      <c r="F715" s="30"/>
      <c r="G715" s="30"/>
      <c r="H715" s="30"/>
      <c r="I715" s="30"/>
      <c r="J715" s="30"/>
      <c r="K715" s="30"/>
      <c r="L715" s="30"/>
      <c r="M715" s="30"/>
      <c r="N715" s="30"/>
    </row>
    <row r="716" spans="1:14" ht="12.75">
      <c r="A716" s="30"/>
      <c r="B716" s="30"/>
      <c r="C716" s="30"/>
      <c r="D716" s="30"/>
      <c r="E716" s="30"/>
      <c r="F716" s="30"/>
      <c r="G716" s="30"/>
      <c r="H716" s="30"/>
      <c r="I716" s="30"/>
      <c r="J716" s="30"/>
      <c r="K716" s="30"/>
      <c r="L716" s="30"/>
      <c r="M716" s="30"/>
      <c r="N716" s="30"/>
    </row>
    <row r="717" spans="1:14" ht="12.75">
      <c r="A717" s="30"/>
      <c r="B717" s="30"/>
      <c r="C717" s="30"/>
      <c r="D717" s="30"/>
      <c r="E717" s="30"/>
      <c r="F717" s="30"/>
      <c r="G717" s="30"/>
      <c r="H717" s="30"/>
      <c r="I717" s="30"/>
      <c r="J717" s="30"/>
      <c r="K717" s="30"/>
      <c r="L717" s="30"/>
      <c r="M717" s="30"/>
      <c r="N717" s="30"/>
    </row>
    <row r="718" spans="1:14" ht="12.75">
      <c r="A718" s="30"/>
      <c r="B718" s="30"/>
      <c r="C718" s="30"/>
      <c r="D718" s="30"/>
      <c r="E718" s="30"/>
      <c r="F718" s="30"/>
      <c r="G718" s="30"/>
      <c r="H718" s="30"/>
      <c r="I718" s="30"/>
      <c r="J718" s="30"/>
      <c r="K718" s="30"/>
      <c r="L718" s="30"/>
      <c r="M718" s="30"/>
      <c r="N718" s="30"/>
    </row>
    <row r="719" spans="1:14" ht="12.75">
      <c r="A719" s="30"/>
      <c r="B719" s="30"/>
      <c r="C719" s="30"/>
      <c r="D719" s="30"/>
      <c r="E719" s="30"/>
      <c r="F719" s="30"/>
      <c r="G719" s="30"/>
      <c r="H719" s="30"/>
      <c r="I719" s="30"/>
      <c r="J719" s="30"/>
      <c r="K719" s="30"/>
      <c r="L719" s="30"/>
      <c r="M719" s="30"/>
      <c r="N719" s="30"/>
    </row>
    <row r="720" spans="1:14" ht="12.75">
      <c r="A720" s="30"/>
      <c r="B720" s="30"/>
      <c r="C720" s="30"/>
      <c r="D720" s="30"/>
      <c r="E720" s="30"/>
      <c r="F720" s="30"/>
      <c r="G720" s="30"/>
      <c r="H720" s="30"/>
      <c r="I720" s="30"/>
      <c r="J720" s="30"/>
      <c r="K720" s="30"/>
      <c r="L720" s="30"/>
      <c r="M720" s="30"/>
      <c r="N720" s="30"/>
    </row>
    <row r="721" spans="1:14" ht="12.75">
      <c r="A721" s="30"/>
      <c r="B721" s="30"/>
      <c r="C721" s="30"/>
      <c r="D721" s="30"/>
      <c r="E721" s="30"/>
      <c r="F721" s="30"/>
      <c r="G721" s="30"/>
      <c r="H721" s="30"/>
      <c r="I721" s="30"/>
      <c r="J721" s="30"/>
      <c r="K721" s="30"/>
      <c r="L721" s="30"/>
      <c r="M721" s="30"/>
      <c r="N721" s="30"/>
    </row>
    <row r="722" spans="1:14" ht="12.75">
      <c r="A722" s="30"/>
      <c r="B722" s="30"/>
      <c r="C722" s="30"/>
      <c r="D722" s="30"/>
      <c r="E722" s="30"/>
      <c r="F722" s="30"/>
      <c r="G722" s="30"/>
      <c r="H722" s="30"/>
      <c r="I722" s="30"/>
      <c r="J722" s="30"/>
      <c r="K722" s="30"/>
      <c r="L722" s="30"/>
      <c r="M722" s="30"/>
      <c r="N722" s="30"/>
    </row>
    <row r="723" spans="1:14" ht="12.75">
      <c r="A723" s="30"/>
      <c r="B723" s="30"/>
      <c r="C723" s="30"/>
      <c r="D723" s="30"/>
      <c r="E723" s="30"/>
      <c r="F723" s="30"/>
      <c r="G723" s="30"/>
      <c r="H723" s="30"/>
      <c r="I723" s="30"/>
      <c r="J723" s="30"/>
      <c r="K723" s="30"/>
      <c r="L723" s="30"/>
      <c r="M723" s="30"/>
      <c r="N723" s="30"/>
    </row>
    <row r="724" spans="1:14" ht="12.75">
      <c r="A724" s="30"/>
      <c r="B724" s="30"/>
      <c r="C724" s="30"/>
      <c r="D724" s="30"/>
      <c r="E724" s="30"/>
      <c r="F724" s="30"/>
      <c r="G724" s="30"/>
      <c r="H724" s="30"/>
      <c r="I724" s="30"/>
      <c r="J724" s="30"/>
      <c r="K724" s="30"/>
      <c r="L724" s="30"/>
      <c r="M724" s="30"/>
      <c r="N724" s="30"/>
    </row>
    <row r="725" spans="1:14" ht="12.75">
      <c r="A725" s="30"/>
      <c r="B725" s="30"/>
      <c r="C725" s="30"/>
      <c r="D725" s="30"/>
      <c r="E725" s="30"/>
      <c r="F725" s="30"/>
      <c r="G725" s="30"/>
      <c r="H725" s="30"/>
      <c r="I725" s="30"/>
      <c r="J725" s="30"/>
      <c r="K725" s="30"/>
      <c r="L725" s="30"/>
      <c r="M725" s="30"/>
      <c r="N725" s="30"/>
    </row>
    <row r="726" spans="1:14" ht="12.75">
      <c r="A726" s="30"/>
      <c r="B726" s="30"/>
      <c r="C726" s="30"/>
      <c r="D726" s="30"/>
      <c r="E726" s="30"/>
      <c r="F726" s="30"/>
      <c r="G726" s="30"/>
      <c r="H726" s="30"/>
      <c r="I726" s="30"/>
      <c r="J726" s="30"/>
      <c r="K726" s="30"/>
      <c r="L726" s="30"/>
      <c r="M726" s="30"/>
      <c r="N726" s="30"/>
    </row>
    <row r="727" spans="1:14" ht="12.75">
      <c r="A727" s="30"/>
      <c r="B727" s="30"/>
      <c r="C727" s="30"/>
      <c r="D727" s="30"/>
      <c r="E727" s="30"/>
      <c r="F727" s="30"/>
      <c r="G727" s="30"/>
      <c r="H727" s="30"/>
      <c r="I727" s="30"/>
      <c r="J727" s="30"/>
      <c r="K727" s="30"/>
      <c r="L727" s="30"/>
      <c r="M727" s="30"/>
      <c r="N727" s="30"/>
    </row>
    <row r="728" spans="1:14" ht="12.75">
      <c r="A728" s="30"/>
      <c r="B728" s="30"/>
      <c r="C728" s="30"/>
      <c r="D728" s="30"/>
      <c r="E728" s="30"/>
      <c r="F728" s="30"/>
      <c r="G728" s="30"/>
      <c r="H728" s="30"/>
      <c r="I728" s="30"/>
      <c r="J728" s="30"/>
      <c r="K728" s="30"/>
      <c r="L728" s="30"/>
      <c r="M728" s="30"/>
      <c r="N728" s="30"/>
    </row>
    <row r="729" spans="1:14" ht="12.75">
      <c r="A729" s="30"/>
      <c r="B729" s="30"/>
      <c r="C729" s="30"/>
      <c r="D729" s="30"/>
      <c r="E729" s="30"/>
      <c r="F729" s="30"/>
      <c r="G729" s="30"/>
      <c r="H729" s="30"/>
      <c r="I729" s="30"/>
      <c r="J729" s="30"/>
      <c r="K729" s="30"/>
      <c r="L729" s="30"/>
      <c r="M729" s="30"/>
      <c r="N729" s="30"/>
    </row>
    <row r="730" spans="1:14" ht="12.75">
      <c r="A730" s="30"/>
      <c r="B730" s="30"/>
      <c r="C730" s="30"/>
      <c r="D730" s="30"/>
      <c r="E730" s="30"/>
      <c r="F730" s="30"/>
      <c r="G730" s="30"/>
      <c r="H730" s="30"/>
      <c r="I730" s="30"/>
      <c r="J730" s="30"/>
      <c r="K730" s="30"/>
      <c r="L730" s="30"/>
      <c r="M730" s="30"/>
      <c r="N730" s="30"/>
    </row>
    <row r="731" spans="1:14" ht="12.75">
      <c r="A731" s="30"/>
      <c r="B731" s="30"/>
      <c r="C731" s="30"/>
      <c r="D731" s="30"/>
      <c r="E731" s="30"/>
      <c r="F731" s="30"/>
      <c r="G731" s="30"/>
      <c r="H731" s="30"/>
      <c r="I731" s="30"/>
      <c r="J731" s="30"/>
      <c r="K731" s="30"/>
      <c r="L731" s="30"/>
      <c r="M731" s="30"/>
      <c r="N731" s="30"/>
    </row>
    <row r="732" spans="1:14" ht="12.75">
      <c r="A732" s="30"/>
      <c r="B732" s="30"/>
      <c r="C732" s="30"/>
      <c r="D732" s="30"/>
      <c r="E732" s="30"/>
      <c r="F732" s="30"/>
      <c r="G732" s="30"/>
      <c r="H732" s="30"/>
      <c r="I732" s="30"/>
      <c r="J732" s="30"/>
      <c r="K732" s="30"/>
      <c r="L732" s="30"/>
      <c r="M732" s="30"/>
      <c r="N732" s="30"/>
    </row>
    <row r="733" spans="1:14" ht="12.75">
      <c r="A733" s="30"/>
      <c r="B733" s="30"/>
      <c r="C733" s="30"/>
      <c r="D733" s="30"/>
      <c r="E733" s="30"/>
      <c r="F733" s="30"/>
      <c r="G733" s="30"/>
      <c r="H733" s="30"/>
      <c r="I733" s="30"/>
      <c r="J733" s="30"/>
      <c r="K733" s="30"/>
      <c r="L733" s="30"/>
      <c r="M733" s="30"/>
      <c r="N733" s="30"/>
    </row>
    <row r="734" spans="1:14" ht="12.75">
      <c r="A734" s="30"/>
      <c r="B734" s="30"/>
      <c r="C734" s="30"/>
      <c r="D734" s="30"/>
      <c r="E734" s="30"/>
      <c r="F734" s="30"/>
      <c r="G734" s="30"/>
      <c r="H734" s="30"/>
      <c r="I734" s="30"/>
      <c r="J734" s="30"/>
      <c r="K734" s="30"/>
      <c r="L734" s="30"/>
      <c r="M734" s="30"/>
      <c r="N734" s="30"/>
    </row>
    <row r="735" spans="1:14" ht="12.75">
      <c r="A735" s="30"/>
      <c r="B735" s="30"/>
      <c r="C735" s="30"/>
      <c r="D735" s="30"/>
      <c r="E735" s="30"/>
      <c r="F735" s="30"/>
      <c r="G735" s="30"/>
      <c r="H735" s="30"/>
      <c r="I735" s="30"/>
      <c r="J735" s="30"/>
      <c r="K735" s="30"/>
      <c r="L735" s="30"/>
      <c r="M735" s="30"/>
      <c r="N735" s="30"/>
    </row>
    <row r="736" spans="1:14" ht="12.75">
      <c r="A736" s="30"/>
      <c r="B736" s="30"/>
      <c r="C736" s="30"/>
      <c r="D736" s="30"/>
      <c r="E736" s="30"/>
      <c r="F736" s="30"/>
      <c r="G736" s="30"/>
      <c r="H736" s="30"/>
      <c r="I736" s="30"/>
      <c r="J736" s="30"/>
      <c r="K736" s="30"/>
      <c r="L736" s="30"/>
      <c r="M736" s="30"/>
      <c r="N736" s="30"/>
    </row>
    <row r="737" spans="1:14" ht="12.75">
      <c r="A737" s="30"/>
      <c r="B737" s="30"/>
      <c r="C737" s="30"/>
      <c r="D737" s="30"/>
      <c r="E737" s="30"/>
      <c r="F737" s="30"/>
      <c r="G737" s="30"/>
      <c r="H737" s="30"/>
      <c r="I737" s="30"/>
      <c r="J737" s="30"/>
      <c r="K737" s="30"/>
      <c r="L737" s="30"/>
      <c r="M737" s="30"/>
      <c r="N737" s="30"/>
    </row>
    <row r="738" spans="1:14" ht="12.75">
      <c r="A738" s="30"/>
      <c r="B738" s="30"/>
      <c r="C738" s="30"/>
      <c r="D738" s="30"/>
      <c r="E738" s="30"/>
      <c r="F738" s="30"/>
      <c r="G738" s="30"/>
      <c r="H738" s="30"/>
      <c r="I738" s="30"/>
      <c r="J738" s="30"/>
      <c r="K738" s="30"/>
      <c r="L738" s="30"/>
      <c r="M738" s="30"/>
      <c r="N738" s="30"/>
    </row>
    <row r="739" spans="1:14" ht="12.75">
      <c r="A739" s="30"/>
      <c r="B739" s="30"/>
      <c r="C739" s="30"/>
      <c r="D739" s="30"/>
      <c r="E739" s="30"/>
      <c r="F739" s="30"/>
      <c r="G739" s="30"/>
      <c r="H739" s="30"/>
      <c r="I739" s="30"/>
      <c r="J739" s="30"/>
      <c r="K739" s="30"/>
      <c r="L739" s="30"/>
      <c r="M739" s="30"/>
      <c r="N739" s="30"/>
    </row>
    <row r="740" spans="1:14" ht="12.75">
      <c r="A740" s="30"/>
      <c r="B740" s="30"/>
      <c r="C740" s="30"/>
      <c r="D740" s="30"/>
      <c r="E740" s="30"/>
      <c r="F740" s="30"/>
      <c r="G740" s="30"/>
      <c r="H740" s="30"/>
      <c r="I740" s="30"/>
      <c r="J740" s="30"/>
      <c r="K740" s="30"/>
      <c r="L740" s="30"/>
      <c r="M740" s="30"/>
      <c r="N740" s="30"/>
    </row>
    <row r="741" spans="1:14" ht="12.75">
      <c r="A741" s="30"/>
      <c r="B741" s="30"/>
      <c r="C741" s="30"/>
      <c r="D741" s="30"/>
      <c r="E741" s="30"/>
      <c r="F741" s="30"/>
      <c r="G741" s="30"/>
      <c r="H741" s="30"/>
      <c r="I741" s="30"/>
      <c r="J741" s="30"/>
      <c r="K741" s="30"/>
      <c r="L741" s="30"/>
      <c r="M741" s="30"/>
      <c r="N741" s="30"/>
    </row>
    <row r="742" spans="1:14" ht="12.75">
      <c r="A742" s="30"/>
      <c r="B742" s="30"/>
      <c r="C742" s="30"/>
      <c r="D742" s="30"/>
      <c r="E742" s="30"/>
      <c r="F742" s="30"/>
      <c r="G742" s="30"/>
      <c r="H742" s="30"/>
      <c r="I742" s="30"/>
      <c r="J742" s="30"/>
      <c r="K742" s="30"/>
      <c r="L742" s="30"/>
      <c r="M742" s="30"/>
      <c r="N742" s="30"/>
    </row>
    <row r="743" spans="1:14" ht="12.75">
      <c r="A743" s="30"/>
      <c r="B743" s="30"/>
      <c r="C743" s="30"/>
      <c r="D743" s="30"/>
      <c r="E743" s="30"/>
      <c r="F743" s="30"/>
      <c r="G743" s="30"/>
      <c r="H743" s="30"/>
      <c r="I743" s="30"/>
      <c r="J743" s="30"/>
      <c r="K743" s="30"/>
      <c r="L743" s="30"/>
      <c r="M743" s="30"/>
      <c r="N743" s="30"/>
    </row>
    <row r="744" spans="1:14" ht="12.75">
      <c r="A744" s="30"/>
      <c r="B744" s="30"/>
      <c r="C744" s="30"/>
      <c r="D744" s="30"/>
      <c r="E744" s="30"/>
      <c r="F744" s="30"/>
      <c r="G744" s="30"/>
      <c r="H744" s="30"/>
      <c r="I744" s="30"/>
      <c r="J744" s="30"/>
      <c r="K744" s="30"/>
      <c r="L744" s="30"/>
      <c r="M744" s="30"/>
      <c r="N744" s="30"/>
    </row>
    <row r="745" spans="1:14" ht="12.75">
      <c r="A745" s="30"/>
      <c r="B745" s="30"/>
      <c r="C745" s="30"/>
      <c r="D745" s="30"/>
      <c r="E745" s="30"/>
      <c r="F745" s="30"/>
      <c r="G745" s="30"/>
      <c r="H745" s="30"/>
      <c r="I745" s="30"/>
      <c r="J745" s="30"/>
      <c r="K745" s="30"/>
      <c r="L745" s="30"/>
      <c r="M745" s="30"/>
      <c r="N745" s="30"/>
    </row>
    <row r="746" spans="1:14" ht="12.75">
      <c r="A746" s="30"/>
      <c r="B746" s="30"/>
      <c r="C746" s="30"/>
      <c r="D746" s="30"/>
      <c r="E746" s="30"/>
      <c r="F746" s="30"/>
      <c r="G746" s="30"/>
      <c r="H746" s="30"/>
      <c r="I746" s="30"/>
      <c r="J746" s="30"/>
      <c r="K746" s="30"/>
      <c r="L746" s="30"/>
      <c r="M746" s="30"/>
      <c r="N746" s="30"/>
    </row>
    <row r="747" spans="1:14" ht="12.75">
      <c r="A747" s="30"/>
      <c r="B747" s="30"/>
      <c r="C747" s="30"/>
      <c r="D747" s="30"/>
      <c r="E747" s="30"/>
      <c r="F747" s="30"/>
      <c r="G747" s="30"/>
      <c r="H747" s="30"/>
      <c r="I747" s="30"/>
      <c r="J747" s="30"/>
      <c r="K747" s="30"/>
      <c r="L747" s="30"/>
      <c r="M747" s="30"/>
      <c r="N747" s="30"/>
    </row>
    <row r="748" spans="1:14" ht="12.75">
      <c r="A748" s="30"/>
      <c r="B748" s="30"/>
      <c r="C748" s="30"/>
      <c r="D748" s="30"/>
      <c r="E748" s="30"/>
      <c r="F748" s="30"/>
      <c r="G748" s="30"/>
      <c r="H748" s="30"/>
      <c r="I748" s="30"/>
      <c r="J748" s="30"/>
      <c r="K748" s="30"/>
      <c r="L748" s="30"/>
      <c r="M748" s="30"/>
      <c r="N748" s="30"/>
    </row>
    <row r="749" spans="1:14" ht="12.75">
      <c r="A749" s="30"/>
      <c r="B749" s="30"/>
      <c r="C749" s="30"/>
      <c r="D749" s="30"/>
      <c r="E749" s="30"/>
      <c r="F749" s="30"/>
      <c r="G749" s="30"/>
      <c r="H749" s="30"/>
      <c r="I749" s="30"/>
      <c r="J749" s="30"/>
      <c r="K749" s="30"/>
      <c r="L749" s="30"/>
      <c r="M749" s="30"/>
      <c r="N749" s="30"/>
    </row>
    <row r="750" spans="1:14" ht="12.75">
      <c r="A750" s="30"/>
      <c r="B750" s="30"/>
      <c r="C750" s="30"/>
      <c r="D750" s="30"/>
      <c r="E750" s="30"/>
      <c r="F750" s="30"/>
      <c r="G750" s="30"/>
      <c r="H750" s="30"/>
      <c r="I750" s="30"/>
      <c r="J750" s="30"/>
      <c r="K750" s="30"/>
      <c r="L750" s="30"/>
      <c r="M750" s="30"/>
      <c r="N750" s="30"/>
    </row>
    <row r="751" spans="1:14" ht="12.75">
      <c r="A751" s="30"/>
      <c r="B751" s="30"/>
      <c r="C751" s="30"/>
      <c r="D751" s="30"/>
      <c r="E751" s="30"/>
      <c r="F751" s="30"/>
      <c r="G751" s="30"/>
      <c r="H751" s="30"/>
      <c r="I751" s="30"/>
      <c r="J751" s="30"/>
      <c r="K751" s="30"/>
      <c r="L751" s="30"/>
      <c r="M751" s="30"/>
      <c r="N751" s="30"/>
    </row>
    <row r="752" spans="1:14" ht="12.75">
      <c r="A752" s="30"/>
      <c r="B752" s="30"/>
      <c r="C752" s="30"/>
      <c r="D752" s="30"/>
      <c r="E752" s="30"/>
      <c r="F752" s="30"/>
      <c r="G752" s="30"/>
      <c r="H752" s="30"/>
      <c r="I752" s="30"/>
      <c r="J752" s="30"/>
      <c r="K752" s="30"/>
      <c r="L752" s="30"/>
      <c r="M752" s="30"/>
      <c r="N752" s="30"/>
    </row>
    <row r="753" spans="1:14" ht="12.75">
      <c r="A753" s="30"/>
      <c r="B753" s="30"/>
      <c r="C753" s="30"/>
      <c r="D753" s="30"/>
      <c r="E753" s="30"/>
      <c r="F753" s="30"/>
      <c r="G753" s="30"/>
      <c r="H753" s="30"/>
      <c r="I753" s="30"/>
      <c r="J753" s="30"/>
      <c r="K753" s="30"/>
      <c r="L753" s="30"/>
      <c r="M753" s="30"/>
      <c r="N753" s="30"/>
    </row>
    <row r="754" spans="1:14" ht="12.75">
      <c r="A754" s="30"/>
      <c r="B754" s="30"/>
      <c r="C754" s="30"/>
      <c r="D754" s="30"/>
      <c r="E754" s="30"/>
      <c r="F754" s="30"/>
      <c r="G754" s="30"/>
      <c r="H754" s="30"/>
      <c r="I754" s="30"/>
      <c r="J754" s="30"/>
      <c r="K754" s="30"/>
      <c r="L754" s="30"/>
      <c r="M754" s="30"/>
      <c r="N754" s="30"/>
    </row>
    <row r="755" spans="1:14" ht="12.75">
      <c r="A755" s="30"/>
      <c r="B755" s="30"/>
      <c r="C755" s="30"/>
      <c r="D755" s="30"/>
      <c r="E755" s="30"/>
      <c r="F755" s="30"/>
      <c r="G755" s="30"/>
      <c r="H755" s="30"/>
      <c r="I755" s="30"/>
      <c r="J755" s="30"/>
      <c r="K755" s="30"/>
      <c r="L755" s="30"/>
      <c r="M755" s="30"/>
      <c r="N755" s="30"/>
    </row>
    <row r="756" spans="1:14" ht="12.75">
      <c r="A756" s="30"/>
      <c r="B756" s="30"/>
      <c r="C756" s="30"/>
      <c r="D756" s="30"/>
      <c r="E756" s="30"/>
      <c r="F756" s="30"/>
      <c r="G756" s="30"/>
      <c r="H756" s="30"/>
      <c r="I756" s="30"/>
      <c r="J756" s="30"/>
      <c r="K756" s="30"/>
      <c r="L756" s="30"/>
      <c r="M756" s="30"/>
      <c r="N756" s="30"/>
    </row>
    <row r="757" spans="1:14" ht="12.75">
      <c r="A757" s="30"/>
      <c r="B757" s="30"/>
      <c r="C757" s="30"/>
      <c r="D757" s="30"/>
      <c r="E757" s="30"/>
      <c r="F757" s="30"/>
      <c r="G757" s="30"/>
      <c r="H757" s="30"/>
      <c r="I757" s="30"/>
      <c r="J757" s="30"/>
      <c r="K757" s="30"/>
      <c r="L757" s="30"/>
      <c r="M757" s="30"/>
      <c r="N757" s="30"/>
    </row>
    <row r="758" spans="1:14" ht="12.75">
      <c r="A758" s="30"/>
      <c r="B758" s="30"/>
      <c r="C758" s="30"/>
      <c r="D758" s="30"/>
      <c r="E758" s="30"/>
      <c r="F758" s="30"/>
      <c r="G758" s="30"/>
      <c r="H758" s="30"/>
      <c r="I758" s="30"/>
      <c r="J758" s="30"/>
      <c r="K758" s="30"/>
      <c r="L758" s="30"/>
      <c r="M758" s="30"/>
      <c r="N758" s="30"/>
    </row>
    <row r="759" spans="1:14" ht="12.75">
      <c r="A759" s="30"/>
      <c r="B759" s="30"/>
      <c r="C759" s="30"/>
      <c r="D759" s="30"/>
      <c r="E759" s="30"/>
      <c r="F759" s="30"/>
      <c r="G759" s="30"/>
      <c r="H759" s="30"/>
      <c r="I759" s="30"/>
      <c r="J759" s="30"/>
      <c r="K759" s="30"/>
      <c r="L759" s="30"/>
      <c r="M759" s="30"/>
      <c r="N759" s="30"/>
    </row>
    <row r="760" spans="1:14" ht="12.75">
      <c r="A760" s="30"/>
      <c r="B760" s="30"/>
      <c r="C760" s="30"/>
      <c r="D760" s="30"/>
      <c r="E760" s="30"/>
      <c r="F760" s="30"/>
      <c r="G760" s="30"/>
      <c r="H760" s="30"/>
      <c r="I760" s="30"/>
      <c r="J760" s="30"/>
      <c r="K760" s="30"/>
      <c r="L760" s="30"/>
      <c r="M760" s="30"/>
      <c r="N760" s="30"/>
    </row>
    <row r="761" spans="1:14" ht="12.75">
      <c r="A761" s="30"/>
      <c r="B761" s="30"/>
      <c r="C761" s="30"/>
      <c r="D761" s="30"/>
      <c r="E761" s="30"/>
      <c r="F761" s="30"/>
      <c r="G761" s="30"/>
      <c r="H761" s="30"/>
      <c r="I761" s="30"/>
      <c r="J761" s="30"/>
      <c r="K761" s="30"/>
      <c r="L761" s="30"/>
      <c r="M761" s="30"/>
      <c r="N761" s="30"/>
    </row>
    <row r="762" spans="1:14" ht="12.75">
      <c r="A762" s="30"/>
      <c r="B762" s="30"/>
      <c r="C762" s="30"/>
      <c r="D762" s="30"/>
      <c r="E762" s="30"/>
      <c r="F762" s="30"/>
      <c r="G762" s="30"/>
      <c r="H762" s="30"/>
      <c r="I762" s="30"/>
      <c r="J762" s="30"/>
      <c r="K762" s="30"/>
      <c r="L762" s="30"/>
      <c r="M762" s="30"/>
      <c r="N762" s="30"/>
    </row>
    <row r="763" spans="1:14" ht="12.75">
      <c r="A763" s="30"/>
      <c r="B763" s="30"/>
      <c r="C763" s="30"/>
      <c r="D763" s="30"/>
      <c r="E763" s="30"/>
      <c r="F763" s="30"/>
      <c r="G763" s="30"/>
      <c r="H763" s="30"/>
      <c r="I763" s="30"/>
      <c r="J763" s="30"/>
      <c r="K763" s="30"/>
      <c r="L763" s="30"/>
      <c r="M763" s="30"/>
      <c r="N763" s="30"/>
    </row>
    <row r="764" spans="1:14" ht="12.75">
      <c r="A764" s="30"/>
      <c r="B764" s="30"/>
      <c r="C764" s="30"/>
      <c r="D764" s="30"/>
      <c r="E764" s="30"/>
      <c r="F764" s="30"/>
      <c r="G764" s="30"/>
      <c r="H764" s="30"/>
      <c r="I764" s="30"/>
      <c r="J764" s="30"/>
      <c r="K764" s="30"/>
      <c r="L764" s="30"/>
      <c r="M764" s="30"/>
      <c r="N764" s="30"/>
    </row>
    <row r="765" spans="1:14" ht="12.75">
      <c r="A765" s="30"/>
      <c r="B765" s="30"/>
      <c r="C765" s="30"/>
      <c r="D765" s="30"/>
      <c r="E765" s="30"/>
      <c r="F765" s="30"/>
      <c r="G765" s="30"/>
      <c r="H765" s="30"/>
      <c r="I765" s="30"/>
      <c r="J765" s="30"/>
      <c r="K765" s="30"/>
      <c r="L765" s="30"/>
      <c r="M765" s="30"/>
      <c r="N765" s="30"/>
    </row>
    <row r="766" spans="1:14" ht="12.75">
      <c r="A766" s="30"/>
      <c r="B766" s="30"/>
      <c r="C766" s="30"/>
      <c r="D766" s="30"/>
      <c r="E766" s="30"/>
      <c r="F766" s="30"/>
      <c r="G766" s="30"/>
      <c r="H766" s="30"/>
      <c r="I766" s="30"/>
      <c r="J766" s="30"/>
      <c r="K766" s="30"/>
      <c r="L766" s="30"/>
      <c r="M766" s="30"/>
      <c r="N766" s="30"/>
    </row>
    <row r="767" spans="1:14" ht="12.75">
      <c r="A767" s="30"/>
      <c r="B767" s="30"/>
      <c r="C767" s="30"/>
      <c r="D767" s="30"/>
      <c r="E767" s="30"/>
      <c r="F767" s="30"/>
      <c r="G767" s="30"/>
      <c r="H767" s="30"/>
      <c r="I767" s="30"/>
      <c r="J767" s="30"/>
      <c r="K767" s="30"/>
      <c r="L767" s="30"/>
      <c r="M767" s="30"/>
      <c r="N767" s="30"/>
    </row>
    <row r="768" spans="1:14" ht="12.75">
      <c r="A768" s="30"/>
      <c r="B768" s="30"/>
      <c r="C768" s="30"/>
      <c r="D768" s="30"/>
      <c r="E768" s="30"/>
      <c r="F768" s="30"/>
      <c r="G768" s="30"/>
      <c r="H768" s="30"/>
      <c r="I768" s="30"/>
      <c r="J768" s="30"/>
      <c r="K768" s="30"/>
      <c r="L768" s="30"/>
      <c r="M768" s="30"/>
      <c r="N768" s="30"/>
    </row>
    <row r="769" spans="1:14" ht="12.75">
      <c r="A769" s="30"/>
      <c r="B769" s="30"/>
      <c r="C769" s="30"/>
      <c r="D769" s="30"/>
      <c r="E769" s="30"/>
      <c r="F769" s="30"/>
      <c r="G769" s="30"/>
      <c r="H769" s="30"/>
      <c r="I769" s="30"/>
      <c r="J769" s="30"/>
      <c r="K769" s="30"/>
      <c r="L769" s="30"/>
      <c r="M769" s="30"/>
      <c r="N769" s="30"/>
    </row>
    <row r="770" spans="1:14" ht="12.75">
      <c r="A770" s="30"/>
      <c r="B770" s="30"/>
      <c r="C770" s="30"/>
      <c r="D770" s="30"/>
      <c r="E770" s="30"/>
      <c r="F770" s="30"/>
      <c r="G770" s="30"/>
      <c r="H770" s="30"/>
      <c r="I770" s="30"/>
      <c r="J770" s="30"/>
      <c r="K770" s="30"/>
      <c r="L770" s="30"/>
      <c r="M770" s="30"/>
      <c r="N770" s="30"/>
    </row>
    <row r="771" spans="1:14" ht="12.75">
      <c r="A771" s="30"/>
      <c r="B771" s="30"/>
      <c r="C771" s="30"/>
      <c r="D771" s="30"/>
      <c r="E771" s="30"/>
      <c r="F771" s="30"/>
      <c r="G771" s="30"/>
      <c r="H771" s="30"/>
      <c r="I771" s="30"/>
      <c r="J771" s="30"/>
      <c r="K771" s="30"/>
      <c r="L771" s="30"/>
      <c r="M771" s="30"/>
      <c r="N771" s="30"/>
    </row>
    <row r="772" spans="1:14" ht="12.75">
      <c r="A772" s="30"/>
      <c r="B772" s="30"/>
      <c r="C772" s="30"/>
      <c r="D772" s="30"/>
      <c r="E772" s="30"/>
      <c r="F772" s="30"/>
      <c r="G772" s="30"/>
      <c r="H772" s="30"/>
      <c r="I772" s="30"/>
      <c r="J772" s="30"/>
      <c r="K772" s="30"/>
      <c r="L772" s="30"/>
      <c r="M772" s="30"/>
      <c r="N772" s="30"/>
    </row>
    <row r="773" spans="1:14" ht="12.75">
      <c r="A773" s="30"/>
      <c r="B773" s="30"/>
      <c r="C773" s="30"/>
      <c r="D773" s="30"/>
      <c r="E773" s="30"/>
      <c r="F773" s="30"/>
      <c r="G773" s="30"/>
      <c r="H773" s="30"/>
      <c r="I773" s="30"/>
      <c r="J773" s="30"/>
      <c r="K773" s="30"/>
      <c r="L773" s="30"/>
      <c r="M773" s="30"/>
      <c r="N773" s="30"/>
    </row>
    <row r="774" spans="1:14" ht="12.75">
      <c r="A774" s="30"/>
      <c r="B774" s="30"/>
      <c r="C774" s="30"/>
      <c r="D774" s="30"/>
      <c r="E774" s="30"/>
      <c r="F774" s="30"/>
      <c r="G774" s="30"/>
      <c r="H774" s="30"/>
      <c r="I774" s="30"/>
      <c r="J774" s="30"/>
      <c r="K774" s="30"/>
      <c r="L774" s="30"/>
      <c r="M774" s="30"/>
      <c r="N774" s="30"/>
    </row>
    <row r="775" spans="1:14" ht="12.75">
      <c r="A775" s="30"/>
      <c r="B775" s="30"/>
      <c r="C775" s="30"/>
      <c r="D775" s="30"/>
      <c r="E775" s="30"/>
      <c r="F775" s="30"/>
      <c r="G775" s="30"/>
      <c r="H775" s="30"/>
      <c r="I775" s="30"/>
      <c r="J775" s="30"/>
      <c r="K775" s="30"/>
      <c r="L775" s="30"/>
      <c r="M775" s="30"/>
      <c r="N775" s="30"/>
    </row>
    <row r="776" spans="1:14" ht="12.75">
      <c r="A776" s="30"/>
      <c r="B776" s="30"/>
      <c r="C776" s="30"/>
      <c r="D776" s="30"/>
      <c r="E776" s="30"/>
      <c r="F776" s="30"/>
      <c r="G776" s="30"/>
      <c r="H776" s="30"/>
      <c r="I776" s="30"/>
      <c r="J776" s="30"/>
      <c r="K776" s="30"/>
      <c r="L776" s="30"/>
      <c r="M776" s="30"/>
      <c r="N776" s="30"/>
    </row>
    <row r="777" spans="1:14" ht="12.75">
      <c r="A777" s="30"/>
      <c r="B777" s="30"/>
      <c r="C777" s="30"/>
      <c r="D777" s="30"/>
      <c r="E777" s="30"/>
      <c r="F777" s="30"/>
      <c r="G777" s="30"/>
      <c r="H777" s="30"/>
      <c r="I777" s="30"/>
      <c r="J777" s="30"/>
      <c r="K777" s="30"/>
      <c r="L777" s="30"/>
      <c r="M777" s="30"/>
      <c r="N777" s="30"/>
    </row>
    <row r="778" spans="1:14" ht="12.75">
      <c r="A778" s="30"/>
      <c r="B778" s="30"/>
      <c r="C778" s="30"/>
      <c r="D778" s="30"/>
      <c r="E778" s="30"/>
      <c r="F778" s="30"/>
      <c r="G778" s="30"/>
      <c r="H778" s="30"/>
      <c r="I778" s="30"/>
      <c r="J778" s="30"/>
      <c r="K778" s="30"/>
      <c r="L778" s="30"/>
      <c r="M778" s="30"/>
      <c r="N778" s="30"/>
    </row>
    <row r="779" spans="1:14" ht="12.75">
      <c r="A779" s="30"/>
      <c r="B779" s="30"/>
      <c r="C779" s="30"/>
      <c r="D779" s="30"/>
      <c r="E779" s="30"/>
      <c r="F779" s="30"/>
      <c r="G779" s="30"/>
      <c r="H779" s="30"/>
      <c r="I779" s="30"/>
      <c r="J779" s="30"/>
      <c r="K779" s="30"/>
      <c r="L779" s="30"/>
      <c r="M779" s="30"/>
      <c r="N779" s="30"/>
    </row>
    <row r="780" spans="1:14" ht="12.75">
      <c r="A780" s="30"/>
      <c r="B780" s="30"/>
      <c r="C780" s="30"/>
      <c r="D780" s="30"/>
      <c r="E780" s="30"/>
      <c r="F780" s="30"/>
      <c r="G780" s="30"/>
      <c r="H780" s="30"/>
      <c r="I780" s="30"/>
      <c r="J780" s="30"/>
      <c r="K780" s="30"/>
      <c r="L780" s="30"/>
      <c r="M780" s="30"/>
      <c r="N780" s="30"/>
    </row>
    <row r="781" spans="1:14" ht="12.75">
      <c r="A781" s="30"/>
      <c r="B781" s="30"/>
      <c r="C781" s="30"/>
      <c r="D781" s="30"/>
      <c r="E781" s="30"/>
      <c r="F781" s="30"/>
      <c r="G781" s="30"/>
      <c r="H781" s="30"/>
      <c r="I781" s="30"/>
      <c r="J781" s="30"/>
      <c r="K781" s="30"/>
      <c r="L781" s="30"/>
      <c r="M781" s="30"/>
      <c r="N781" s="30"/>
    </row>
    <row r="782" spans="1:14" ht="12.75">
      <c r="A782" s="30"/>
      <c r="B782" s="30"/>
      <c r="C782" s="30"/>
      <c r="D782" s="30"/>
      <c r="E782" s="30"/>
      <c r="F782" s="30"/>
      <c r="G782" s="30"/>
      <c r="H782" s="30"/>
      <c r="I782" s="30"/>
      <c r="J782" s="30"/>
      <c r="K782" s="30"/>
      <c r="L782" s="30"/>
      <c r="M782" s="30"/>
      <c r="N782" s="30"/>
    </row>
    <row r="783" spans="1:14" ht="12.75">
      <c r="A783" s="30"/>
      <c r="B783" s="30"/>
      <c r="C783" s="30"/>
      <c r="D783" s="30"/>
      <c r="E783" s="30"/>
      <c r="F783" s="30"/>
      <c r="G783" s="30"/>
      <c r="H783" s="30"/>
      <c r="I783" s="30"/>
      <c r="J783" s="30"/>
      <c r="K783" s="30"/>
      <c r="L783" s="30"/>
      <c r="M783" s="30"/>
      <c r="N783" s="30"/>
    </row>
    <row r="784" spans="1:14" ht="12.75">
      <c r="A784" s="30"/>
      <c r="B784" s="30"/>
      <c r="C784" s="30"/>
      <c r="D784" s="30"/>
      <c r="E784" s="30"/>
      <c r="F784" s="30"/>
      <c r="G784" s="30"/>
      <c r="H784" s="30"/>
      <c r="I784" s="30"/>
      <c r="J784" s="30"/>
      <c r="K784" s="30"/>
      <c r="L784" s="30"/>
      <c r="M784" s="30"/>
      <c r="N784" s="30"/>
    </row>
    <row r="785" spans="1:14" ht="12.75">
      <c r="A785" s="30"/>
      <c r="B785" s="30"/>
      <c r="C785" s="30"/>
      <c r="D785" s="30"/>
      <c r="E785" s="30"/>
      <c r="F785" s="30"/>
      <c r="G785" s="30"/>
      <c r="H785" s="30"/>
      <c r="I785" s="30"/>
      <c r="J785" s="30"/>
      <c r="K785" s="30"/>
      <c r="L785" s="30"/>
      <c r="M785" s="30"/>
      <c r="N785" s="30"/>
    </row>
    <row r="786" spans="1:14" ht="12.75">
      <c r="A786" s="30"/>
      <c r="B786" s="30"/>
      <c r="C786" s="30"/>
      <c r="D786" s="30"/>
      <c r="E786" s="30"/>
      <c r="F786" s="30"/>
      <c r="G786" s="30"/>
      <c r="H786" s="30"/>
      <c r="I786" s="30"/>
      <c r="J786" s="30"/>
      <c r="K786" s="30"/>
      <c r="L786" s="30"/>
      <c r="M786" s="30"/>
      <c r="N786" s="30"/>
    </row>
    <row r="787" spans="1:14" ht="12.75">
      <c r="A787" s="30"/>
      <c r="B787" s="30"/>
      <c r="C787" s="30"/>
      <c r="D787" s="30"/>
      <c r="E787" s="30"/>
      <c r="F787" s="30"/>
      <c r="G787" s="30"/>
      <c r="H787" s="30"/>
      <c r="I787" s="30"/>
      <c r="J787" s="30"/>
      <c r="K787" s="30"/>
      <c r="L787" s="30"/>
      <c r="M787" s="30"/>
      <c r="N787" s="30"/>
    </row>
    <row r="788" spans="1:14" ht="12.75">
      <c r="A788" s="30"/>
      <c r="B788" s="30"/>
      <c r="C788" s="30"/>
      <c r="D788" s="30"/>
      <c r="E788" s="30"/>
      <c r="F788" s="30"/>
      <c r="G788" s="30"/>
      <c r="H788" s="30"/>
      <c r="I788" s="30"/>
      <c r="J788" s="30"/>
      <c r="K788" s="30"/>
      <c r="L788" s="30"/>
      <c r="M788" s="30"/>
      <c r="N788" s="30"/>
    </row>
    <row r="789" spans="1:14" ht="12.75">
      <c r="A789" s="30"/>
      <c r="B789" s="30"/>
      <c r="C789" s="30"/>
      <c r="D789" s="30"/>
      <c r="E789" s="30"/>
      <c r="F789" s="30"/>
      <c r="G789" s="30"/>
      <c r="H789" s="30"/>
      <c r="I789" s="30"/>
      <c r="J789" s="30"/>
      <c r="K789" s="30"/>
      <c r="L789" s="30"/>
      <c r="M789" s="30"/>
      <c r="N789" s="30"/>
    </row>
    <row r="790" spans="1:14" ht="12.75">
      <c r="A790" s="30"/>
      <c r="B790" s="30"/>
      <c r="C790" s="30"/>
      <c r="D790" s="30"/>
      <c r="E790" s="30"/>
      <c r="F790" s="30"/>
      <c r="G790" s="30"/>
      <c r="H790" s="30"/>
      <c r="I790" s="30"/>
      <c r="J790" s="30"/>
      <c r="K790" s="30"/>
      <c r="L790" s="30"/>
      <c r="M790" s="30"/>
      <c r="N790" s="30"/>
    </row>
    <row r="791" spans="1:14" ht="12.75">
      <c r="A791" s="30"/>
      <c r="B791" s="30"/>
      <c r="C791" s="30"/>
      <c r="D791" s="30"/>
      <c r="E791" s="30"/>
      <c r="F791" s="30"/>
      <c r="G791" s="30"/>
      <c r="H791" s="30"/>
      <c r="I791" s="30"/>
      <c r="J791" s="30"/>
      <c r="K791" s="30"/>
      <c r="L791" s="30"/>
      <c r="M791" s="30"/>
      <c r="N791" s="30"/>
    </row>
    <row r="792" spans="1:14" ht="12.75">
      <c r="A792" s="30"/>
      <c r="B792" s="30"/>
      <c r="C792" s="30"/>
      <c r="D792" s="30"/>
      <c r="E792" s="30"/>
      <c r="F792" s="30"/>
      <c r="G792" s="30"/>
      <c r="H792" s="30"/>
      <c r="I792" s="30"/>
      <c r="J792" s="30"/>
      <c r="K792" s="30"/>
      <c r="L792" s="30"/>
      <c r="M792" s="30"/>
      <c r="N792" s="30"/>
    </row>
    <row r="793" spans="1:14" ht="12.75">
      <c r="A793" s="30"/>
      <c r="B793" s="30"/>
      <c r="C793" s="30"/>
      <c r="D793" s="30"/>
      <c r="E793" s="30"/>
      <c r="F793" s="30"/>
      <c r="G793" s="30"/>
      <c r="H793" s="30"/>
      <c r="I793" s="30"/>
      <c r="J793" s="30"/>
      <c r="K793" s="30"/>
      <c r="L793" s="30"/>
      <c r="M793" s="30"/>
      <c r="N793" s="30"/>
    </row>
    <row r="794" spans="1:14" ht="12.75">
      <c r="A794" s="30"/>
      <c r="B794" s="30"/>
      <c r="C794" s="30"/>
      <c r="D794" s="30"/>
      <c r="E794" s="30"/>
      <c r="F794" s="30"/>
      <c r="G794" s="30"/>
      <c r="H794" s="30"/>
      <c r="I794" s="30"/>
      <c r="J794" s="30"/>
      <c r="K794" s="30"/>
      <c r="L794" s="30"/>
      <c r="M794" s="30"/>
      <c r="N794" s="30"/>
    </row>
    <row r="795" spans="1:14" ht="12.75">
      <c r="A795" s="30"/>
      <c r="B795" s="30"/>
      <c r="C795" s="30"/>
      <c r="D795" s="30"/>
      <c r="E795" s="30"/>
      <c r="F795" s="30"/>
      <c r="G795" s="30"/>
      <c r="H795" s="30"/>
      <c r="I795" s="30"/>
      <c r="J795" s="30"/>
      <c r="K795" s="30"/>
      <c r="L795" s="30"/>
      <c r="M795" s="30"/>
      <c r="N795" s="30"/>
    </row>
    <row r="796" spans="1:14" ht="12.75">
      <c r="A796" s="30"/>
      <c r="B796" s="30"/>
      <c r="C796" s="30"/>
      <c r="D796" s="30"/>
      <c r="E796" s="30"/>
      <c r="F796" s="30"/>
      <c r="G796" s="30"/>
      <c r="H796" s="30"/>
      <c r="I796" s="30"/>
      <c r="J796" s="30"/>
      <c r="K796" s="30"/>
      <c r="L796" s="30"/>
      <c r="M796" s="30"/>
      <c r="N796" s="30"/>
    </row>
    <row r="797" spans="1:14" ht="12.75">
      <c r="A797" s="30"/>
      <c r="B797" s="30"/>
      <c r="C797" s="30"/>
      <c r="D797" s="30"/>
      <c r="E797" s="30"/>
      <c r="F797" s="30"/>
      <c r="G797" s="30"/>
      <c r="H797" s="30"/>
      <c r="I797" s="30"/>
      <c r="J797" s="30"/>
      <c r="K797" s="30"/>
      <c r="L797" s="30"/>
      <c r="M797" s="30"/>
      <c r="N797" s="30"/>
    </row>
    <row r="798" spans="1:14" ht="12.75">
      <c r="A798" s="30"/>
      <c r="B798" s="30"/>
      <c r="C798" s="30"/>
      <c r="D798" s="30"/>
      <c r="E798" s="30"/>
      <c r="F798" s="30"/>
      <c r="G798" s="30"/>
      <c r="H798" s="30"/>
      <c r="I798" s="30"/>
      <c r="J798" s="30"/>
      <c r="K798" s="30"/>
      <c r="L798" s="30"/>
      <c r="M798" s="30"/>
      <c r="N798" s="30"/>
    </row>
    <row r="799" spans="1:14" ht="12.75">
      <c r="A799" s="30"/>
      <c r="B799" s="30"/>
      <c r="C799" s="30"/>
      <c r="D799" s="30"/>
      <c r="E799" s="30"/>
      <c r="F799" s="30"/>
      <c r="G799" s="30"/>
      <c r="H799" s="30"/>
      <c r="I799" s="30"/>
      <c r="J799" s="30"/>
      <c r="K799" s="30"/>
      <c r="L799" s="30"/>
      <c r="M799" s="30"/>
      <c r="N799" s="30"/>
    </row>
    <row r="800" spans="1:14" ht="12.75">
      <c r="A800" s="30"/>
      <c r="B800" s="30"/>
      <c r="C800" s="30"/>
      <c r="D800" s="30"/>
      <c r="E800" s="30"/>
      <c r="F800" s="30"/>
      <c r="G800" s="30"/>
      <c r="H800" s="30"/>
      <c r="I800" s="30"/>
      <c r="J800" s="30"/>
      <c r="K800" s="30"/>
      <c r="L800" s="30"/>
      <c r="M800" s="30"/>
      <c r="N800" s="30"/>
    </row>
    <row r="801" spans="1:14" ht="12.75">
      <c r="A801" s="30"/>
      <c r="B801" s="30"/>
      <c r="C801" s="30"/>
      <c r="D801" s="30"/>
      <c r="E801" s="30"/>
      <c r="F801" s="30"/>
      <c r="G801" s="30"/>
      <c r="H801" s="30"/>
      <c r="I801" s="30"/>
      <c r="J801" s="30"/>
      <c r="K801" s="30"/>
      <c r="L801" s="30"/>
      <c r="M801" s="30"/>
      <c r="N801" s="30"/>
    </row>
    <row r="802" spans="1:14" ht="12.75">
      <c r="A802" s="30"/>
      <c r="B802" s="30"/>
      <c r="C802" s="30"/>
      <c r="D802" s="30"/>
      <c r="E802" s="30"/>
      <c r="F802" s="30"/>
      <c r="G802" s="30"/>
      <c r="H802" s="30"/>
      <c r="I802" s="30"/>
      <c r="J802" s="30"/>
      <c r="K802" s="30"/>
      <c r="L802" s="30"/>
      <c r="M802" s="30"/>
      <c r="N802" s="30"/>
    </row>
    <row r="803" spans="1:14" ht="12.75">
      <c r="A803" s="30"/>
      <c r="B803" s="30"/>
      <c r="C803" s="30"/>
      <c r="D803" s="30"/>
      <c r="E803" s="30"/>
      <c r="F803" s="30"/>
      <c r="G803" s="30"/>
      <c r="H803" s="30"/>
      <c r="I803" s="30"/>
      <c r="J803" s="30"/>
      <c r="K803" s="30"/>
      <c r="L803" s="30"/>
      <c r="M803" s="30"/>
      <c r="N803" s="30"/>
    </row>
    <row r="804" spans="1:14" ht="12.75">
      <c r="A804" s="30"/>
      <c r="B804" s="30"/>
      <c r="C804" s="30"/>
      <c r="D804" s="30"/>
      <c r="E804" s="30"/>
      <c r="F804" s="30"/>
      <c r="G804" s="30"/>
      <c r="H804" s="30"/>
      <c r="I804" s="30"/>
      <c r="J804" s="30"/>
      <c r="K804" s="30"/>
      <c r="L804" s="30"/>
      <c r="M804" s="30"/>
      <c r="N804" s="30"/>
    </row>
    <row r="805" spans="1:14" ht="12.75">
      <c r="A805" s="30"/>
      <c r="B805" s="30"/>
      <c r="C805" s="30"/>
      <c r="D805" s="30"/>
      <c r="E805" s="30"/>
      <c r="F805" s="30"/>
      <c r="G805" s="30"/>
      <c r="H805" s="30"/>
      <c r="I805" s="30"/>
      <c r="J805" s="30"/>
      <c r="K805" s="30"/>
      <c r="L805" s="30"/>
      <c r="M805" s="30"/>
      <c r="N805" s="30"/>
    </row>
    <row r="806" spans="1:14" ht="12.75">
      <c r="A806" s="30"/>
      <c r="B806" s="30"/>
      <c r="C806" s="30"/>
      <c r="D806" s="30"/>
      <c r="E806" s="30"/>
      <c r="F806" s="30"/>
      <c r="G806" s="30"/>
      <c r="H806" s="30"/>
      <c r="I806" s="30"/>
      <c r="J806" s="30"/>
      <c r="K806" s="30"/>
      <c r="L806" s="30"/>
      <c r="M806" s="30"/>
      <c r="N806" s="30"/>
    </row>
    <row r="807" spans="1:14" ht="12.75">
      <c r="A807" s="30"/>
      <c r="B807" s="30"/>
      <c r="C807" s="30"/>
      <c r="D807" s="30"/>
      <c r="E807" s="30"/>
      <c r="F807" s="30"/>
      <c r="G807" s="30"/>
      <c r="H807" s="30"/>
      <c r="I807" s="30"/>
      <c r="J807" s="30"/>
      <c r="K807" s="30"/>
      <c r="L807" s="30"/>
      <c r="M807" s="30"/>
      <c r="N807" s="30"/>
    </row>
    <row r="808" spans="1:14" ht="12.75">
      <c r="A808" s="30"/>
      <c r="B808" s="30"/>
      <c r="C808" s="30"/>
      <c r="D808" s="30"/>
      <c r="E808" s="30"/>
      <c r="F808" s="30"/>
      <c r="G808" s="30"/>
      <c r="H808" s="30"/>
      <c r="I808" s="30"/>
      <c r="J808" s="30"/>
      <c r="K808" s="30"/>
      <c r="L808" s="30"/>
      <c r="M808" s="30"/>
      <c r="N808" s="30"/>
    </row>
    <row r="809" spans="1:14" ht="12.75">
      <c r="A809" s="30"/>
      <c r="B809" s="30"/>
      <c r="C809" s="30"/>
      <c r="D809" s="30"/>
      <c r="E809" s="30"/>
      <c r="F809" s="30"/>
      <c r="G809" s="30"/>
      <c r="H809" s="30"/>
      <c r="I809" s="30"/>
      <c r="J809" s="30"/>
      <c r="K809" s="30"/>
      <c r="L809" s="30"/>
      <c r="M809" s="30"/>
      <c r="N809" s="30"/>
    </row>
    <row r="810" spans="1:14" ht="12.75">
      <c r="A810" s="30"/>
      <c r="B810" s="30"/>
      <c r="C810" s="30"/>
      <c r="D810" s="30"/>
      <c r="E810" s="30"/>
      <c r="F810" s="30"/>
      <c r="G810" s="30"/>
      <c r="H810" s="30"/>
      <c r="I810" s="30"/>
      <c r="J810" s="30"/>
      <c r="K810" s="30"/>
      <c r="L810" s="30"/>
      <c r="M810" s="30"/>
      <c r="N810" s="30"/>
    </row>
    <row r="811" spans="1:14" ht="12.75">
      <c r="A811" s="30"/>
      <c r="B811" s="30"/>
      <c r="C811" s="30"/>
      <c r="D811" s="30"/>
      <c r="E811" s="30"/>
      <c r="F811" s="30"/>
      <c r="G811" s="30"/>
      <c r="H811" s="30"/>
      <c r="I811" s="30"/>
      <c r="J811" s="30"/>
      <c r="K811" s="30"/>
      <c r="L811" s="30"/>
      <c r="M811" s="30"/>
      <c r="N811" s="30"/>
    </row>
    <row r="812" spans="1:14" ht="12.75">
      <c r="A812" s="30"/>
      <c r="B812" s="30"/>
      <c r="C812" s="30"/>
      <c r="D812" s="30"/>
      <c r="E812" s="30"/>
      <c r="F812" s="30"/>
      <c r="G812" s="30"/>
      <c r="H812" s="30"/>
      <c r="I812" s="30"/>
      <c r="J812" s="30"/>
      <c r="K812" s="30"/>
      <c r="L812" s="30"/>
      <c r="M812" s="30"/>
      <c r="N812" s="30"/>
    </row>
    <row r="813" spans="1:14" ht="12.75">
      <c r="A813" s="30"/>
      <c r="B813" s="30"/>
      <c r="C813" s="30"/>
      <c r="D813" s="30"/>
      <c r="E813" s="30"/>
      <c r="F813" s="30"/>
      <c r="G813" s="30"/>
      <c r="H813" s="30"/>
      <c r="I813" s="30"/>
      <c r="J813" s="30"/>
      <c r="K813" s="30"/>
      <c r="L813" s="30"/>
      <c r="M813" s="30"/>
      <c r="N813" s="30"/>
    </row>
    <row r="814" spans="1:14" ht="12.75">
      <c r="A814" s="30"/>
      <c r="B814" s="30"/>
      <c r="C814" s="30"/>
      <c r="D814" s="30"/>
      <c r="E814" s="30"/>
      <c r="F814" s="30"/>
      <c r="G814" s="30"/>
      <c r="H814" s="30"/>
      <c r="I814" s="30"/>
      <c r="J814" s="30"/>
      <c r="K814" s="30"/>
      <c r="L814" s="30"/>
      <c r="M814" s="30"/>
      <c r="N814" s="30"/>
    </row>
    <row r="815" spans="1:14" ht="12.75">
      <c r="A815" s="30"/>
      <c r="B815" s="30"/>
      <c r="C815" s="30"/>
      <c r="D815" s="30"/>
      <c r="E815" s="30"/>
      <c r="F815" s="30"/>
      <c r="G815" s="30"/>
      <c r="H815" s="30"/>
      <c r="I815" s="30"/>
      <c r="J815" s="30"/>
      <c r="K815" s="30"/>
      <c r="L815" s="30"/>
      <c r="M815" s="30"/>
      <c r="N815" s="30"/>
    </row>
    <row r="816" spans="1:14" ht="12.75">
      <c r="A816" s="30"/>
      <c r="B816" s="30"/>
      <c r="C816" s="30"/>
      <c r="D816" s="30"/>
      <c r="E816" s="30"/>
      <c r="F816" s="30"/>
      <c r="G816" s="30"/>
      <c r="H816" s="30"/>
      <c r="I816" s="30"/>
      <c r="J816" s="30"/>
      <c r="K816" s="30"/>
      <c r="L816" s="30"/>
      <c r="M816" s="30"/>
      <c r="N816" s="30"/>
    </row>
    <row r="817" spans="1:14" ht="12.75">
      <c r="A817" s="30"/>
      <c r="B817" s="30"/>
      <c r="C817" s="30"/>
      <c r="D817" s="30"/>
      <c r="E817" s="30"/>
      <c r="F817" s="30"/>
      <c r="G817" s="30"/>
      <c r="H817" s="30"/>
      <c r="I817" s="30"/>
      <c r="J817" s="30"/>
      <c r="K817" s="30"/>
      <c r="L817" s="30"/>
      <c r="M817" s="30"/>
      <c r="N817" s="30"/>
    </row>
    <row r="818" spans="1:14" ht="12.75">
      <c r="A818" s="30"/>
      <c r="B818" s="30"/>
      <c r="C818" s="30"/>
      <c r="D818" s="30"/>
      <c r="E818" s="30"/>
      <c r="F818" s="30"/>
      <c r="G818" s="30"/>
      <c r="H818" s="30"/>
      <c r="I818" s="30"/>
      <c r="J818" s="30"/>
      <c r="K818" s="30"/>
      <c r="L818" s="30"/>
      <c r="M818" s="30"/>
      <c r="N818" s="30"/>
    </row>
    <row r="819" spans="1:14" ht="12.75">
      <c r="A819" s="30"/>
      <c r="B819" s="30"/>
      <c r="C819" s="30"/>
      <c r="D819" s="30"/>
      <c r="E819" s="30"/>
      <c r="F819" s="30"/>
      <c r="G819" s="30"/>
      <c r="H819" s="30"/>
      <c r="I819" s="30"/>
      <c r="J819" s="30"/>
      <c r="K819" s="30"/>
      <c r="L819" s="30"/>
      <c r="M819" s="30"/>
      <c r="N819" s="30"/>
    </row>
    <row r="820" spans="1:14" ht="12.75">
      <c r="A820" s="30"/>
      <c r="B820" s="30"/>
      <c r="C820" s="30"/>
      <c r="D820" s="30"/>
      <c r="E820" s="30"/>
      <c r="F820" s="30"/>
      <c r="G820" s="30"/>
      <c r="H820" s="30"/>
      <c r="I820" s="30"/>
      <c r="J820" s="30"/>
      <c r="K820" s="30"/>
      <c r="L820" s="30"/>
      <c r="M820" s="30"/>
      <c r="N820" s="30"/>
    </row>
    <row r="821" spans="1:14" ht="12.75">
      <c r="A821" s="30"/>
      <c r="B821" s="30"/>
      <c r="C821" s="30"/>
      <c r="D821" s="30"/>
      <c r="E821" s="30"/>
      <c r="F821" s="30"/>
      <c r="G821" s="30"/>
      <c r="H821" s="30"/>
      <c r="I821" s="30"/>
      <c r="J821" s="30"/>
      <c r="K821" s="30"/>
      <c r="L821" s="30"/>
      <c r="M821" s="30"/>
      <c r="N821" s="30"/>
    </row>
    <row r="822" spans="1:14" ht="12.75">
      <c r="A822" s="30"/>
      <c r="B822" s="30"/>
      <c r="C822" s="30"/>
      <c r="D822" s="30"/>
      <c r="E822" s="30"/>
      <c r="F822" s="30"/>
      <c r="G822" s="30"/>
      <c r="H822" s="30"/>
      <c r="I822" s="30"/>
      <c r="J822" s="30"/>
      <c r="K822" s="30"/>
      <c r="L822" s="30"/>
      <c r="M822" s="30"/>
      <c r="N822" s="30"/>
    </row>
    <row r="823" spans="1:14" ht="12.75">
      <c r="A823" s="30"/>
      <c r="B823" s="30"/>
      <c r="C823" s="30"/>
      <c r="D823" s="30"/>
      <c r="E823" s="30"/>
      <c r="F823" s="30"/>
      <c r="G823" s="30"/>
      <c r="H823" s="30"/>
      <c r="I823" s="30"/>
      <c r="J823" s="30"/>
      <c r="K823" s="30"/>
      <c r="L823" s="30"/>
      <c r="M823" s="30"/>
      <c r="N823" s="30"/>
    </row>
    <row r="824" spans="1:14" ht="12.75">
      <c r="A824" s="30"/>
      <c r="B824" s="30"/>
      <c r="C824" s="30"/>
      <c r="D824" s="30"/>
      <c r="E824" s="30"/>
      <c r="F824" s="30"/>
      <c r="G824" s="30"/>
      <c r="H824" s="30"/>
      <c r="I824" s="30"/>
      <c r="J824" s="30"/>
      <c r="K824" s="30"/>
      <c r="L824" s="30"/>
      <c r="M824" s="30"/>
      <c r="N824" s="30"/>
    </row>
    <row r="825" spans="1:14" ht="12.75">
      <c r="A825" s="30"/>
      <c r="B825" s="30"/>
      <c r="C825" s="30"/>
      <c r="D825" s="30"/>
      <c r="E825" s="30"/>
      <c r="F825" s="30"/>
      <c r="G825" s="30"/>
      <c r="H825" s="30"/>
      <c r="I825" s="30"/>
      <c r="J825" s="30"/>
      <c r="K825" s="30"/>
      <c r="L825" s="30"/>
      <c r="M825" s="30"/>
      <c r="N825" s="30"/>
    </row>
    <row r="826" spans="1:14" ht="12.75">
      <c r="A826" s="30"/>
      <c r="B826" s="30"/>
      <c r="C826" s="30"/>
      <c r="D826" s="30"/>
      <c r="E826" s="30"/>
      <c r="F826" s="30"/>
      <c r="G826" s="30"/>
      <c r="H826" s="30"/>
      <c r="I826" s="30"/>
      <c r="J826" s="30"/>
      <c r="K826" s="30"/>
      <c r="L826" s="30"/>
      <c r="M826" s="30"/>
      <c r="N826" s="30"/>
    </row>
    <row r="827" spans="1:14" ht="12.75">
      <c r="A827" s="30"/>
      <c r="B827" s="30"/>
      <c r="C827" s="30"/>
      <c r="D827" s="30"/>
      <c r="E827" s="30"/>
      <c r="F827" s="30"/>
      <c r="G827" s="30"/>
      <c r="H827" s="30"/>
      <c r="I827" s="30"/>
      <c r="J827" s="30"/>
      <c r="K827" s="30"/>
      <c r="L827" s="30"/>
      <c r="M827" s="30"/>
      <c r="N827" s="30"/>
    </row>
    <row r="828" spans="1:14" ht="12.75">
      <c r="A828" s="30"/>
      <c r="B828" s="30"/>
      <c r="C828" s="30"/>
      <c r="D828" s="30"/>
      <c r="E828" s="30"/>
      <c r="F828" s="30"/>
      <c r="G828" s="30"/>
      <c r="H828" s="30"/>
      <c r="I828" s="30"/>
      <c r="J828" s="30"/>
      <c r="K828" s="30"/>
      <c r="L828" s="30"/>
      <c r="M828" s="30"/>
      <c r="N828" s="30"/>
    </row>
    <row r="829" spans="1:14" ht="12.75">
      <c r="A829" s="30"/>
      <c r="B829" s="30"/>
      <c r="C829" s="30"/>
      <c r="D829" s="30"/>
      <c r="E829" s="30"/>
      <c r="F829" s="30"/>
      <c r="G829" s="30"/>
      <c r="H829" s="30"/>
      <c r="I829" s="30"/>
      <c r="J829" s="30"/>
      <c r="K829" s="30"/>
      <c r="L829" s="30"/>
      <c r="M829" s="30"/>
      <c r="N829" s="30"/>
    </row>
    <row r="830" spans="1:14" ht="12.75">
      <c r="A830" s="30"/>
      <c r="B830" s="30"/>
      <c r="C830" s="30"/>
      <c r="D830" s="30"/>
      <c r="E830" s="30"/>
      <c r="F830" s="30"/>
      <c r="G830" s="30"/>
      <c r="H830" s="30"/>
      <c r="I830" s="30"/>
      <c r="J830" s="30"/>
      <c r="K830" s="30"/>
      <c r="L830" s="30"/>
      <c r="M830" s="30"/>
      <c r="N830" s="30"/>
    </row>
    <row r="831" spans="1:14" ht="12.75">
      <c r="A831" s="30"/>
      <c r="B831" s="30"/>
      <c r="C831" s="30"/>
      <c r="D831" s="30"/>
      <c r="E831" s="30"/>
      <c r="F831" s="30"/>
      <c r="G831" s="30"/>
      <c r="H831" s="30"/>
      <c r="I831" s="30"/>
      <c r="J831" s="30"/>
      <c r="K831" s="30"/>
      <c r="L831" s="30"/>
      <c r="M831" s="30"/>
      <c r="N831" s="30"/>
    </row>
    <row r="832" spans="1:14" ht="12.75">
      <c r="A832" s="30"/>
      <c r="B832" s="30"/>
      <c r="C832" s="30"/>
      <c r="D832" s="30"/>
      <c r="E832" s="30"/>
      <c r="F832" s="30"/>
      <c r="G832" s="30"/>
      <c r="H832" s="30"/>
      <c r="I832" s="30"/>
      <c r="J832" s="30"/>
      <c r="K832" s="30"/>
      <c r="L832" s="30"/>
      <c r="M832" s="30"/>
      <c r="N832" s="30"/>
    </row>
    <row r="833" spans="1:14" ht="12.75">
      <c r="A833" s="30"/>
      <c r="B833" s="30"/>
      <c r="C833" s="30"/>
      <c r="D833" s="30"/>
      <c r="E833" s="30"/>
      <c r="F833" s="30"/>
      <c r="G833" s="30"/>
      <c r="H833" s="30"/>
      <c r="I833" s="30"/>
      <c r="J833" s="30"/>
      <c r="K833" s="30"/>
      <c r="L833" s="30"/>
      <c r="M833" s="30"/>
      <c r="N833" s="30"/>
    </row>
    <row r="834" spans="1:14" ht="12.75">
      <c r="A834" s="30"/>
      <c r="B834" s="30"/>
      <c r="C834" s="30"/>
      <c r="D834" s="30"/>
      <c r="E834" s="30"/>
      <c r="F834" s="30"/>
      <c r="G834" s="30"/>
      <c r="H834" s="30"/>
      <c r="I834" s="30"/>
      <c r="J834" s="30"/>
      <c r="K834" s="30"/>
      <c r="L834" s="30"/>
      <c r="M834" s="30"/>
      <c r="N834" s="30"/>
    </row>
    <row r="835" spans="1:14" ht="12.75">
      <c r="A835" s="30"/>
      <c r="B835" s="30"/>
      <c r="C835" s="30"/>
      <c r="D835" s="30"/>
      <c r="E835" s="30"/>
      <c r="F835" s="30"/>
      <c r="G835" s="30"/>
      <c r="H835" s="30"/>
      <c r="I835" s="30"/>
      <c r="J835" s="30"/>
      <c r="K835" s="30"/>
      <c r="L835" s="30"/>
      <c r="M835" s="30"/>
      <c r="N835" s="30"/>
    </row>
    <row r="836" spans="1:14" ht="12.75">
      <c r="A836" s="30"/>
      <c r="B836" s="30"/>
      <c r="C836" s="30"/>
      <c r="D836" s="30"/>
      <c r="E836" s="30"/>
      <c r="F836" s="30"/>
      <c r="G836" s="30"/>
      <c r="H836" s="30"/>
      <c r="I836" s="30"/>
      <c r="J836" s="30"/>
      <c r="K836" s="30"/>
      <c r="L836" s="30"/>
      <c r="M836" s="30"/>
      <c r="N836" s="30"/>
    </row>
    <row r="837" spans="1:14" ht="12.75">
      <c r="A837" s="30"/>
      <c r="B837" s="30"/>
      <c r="C837" s="30"/>
      <c r="D837" s="30"/>
      <c r="E837" s="30"/>
      <c r="F837" s="30"/>
      <c r="G837" s="30"/>
      <c r="H837" s="30"/>
      <c r="I837" s="30"/>
      <c r="J837" s="30"/>
      <c r="K837" s="30"/>
      <c r="L837" s="30"/>
      <c r="M837" s="30"/>
      <c r="N837" s="30"/>
    </row>
    <row r="838" spans="1:14" ht="12.75">
      <c r="A838" s="30"/>
      <c r="B838" s="30"/>
      <c r="C838" s="30"/>
      <c r="D838" s="30"/>
      <c r="E838" s="30"/>
      <c r="F838" s="30"/>
      <c r="G838" s="30"/>
      <c r="H838" s="30"/>
      <c r="I838" s="30"/>
      <c r="J838" s="30"/>
      <c r="K838" s="30"/>
      <c r="L838" s="30"/>
      <c r="M838" s="30"/>
      <c r="N838" s="30"/>
    </row>
    <row r="839" spans="1:14" ht="12.75">
      <c r="A839" s="30"/>
      <c r="B839" s="30"/>
      <c r="C839" s="30"/>
      <c r="D839" s="30"/>
      <c r="E839" s="30"/>
      <c r="F839" s="30"/>
      <c r="G839" s="30"/>
      <c r="H839" s="30"/>
      <c r="I839" s="30"/>
      <c r="J839" s="30"/>
      <c r="K839" s="30"/>
      <c r="L839" s="30"/>
      <c r="M839" s="30"/>
      <c r="N839" s="30"/>
    </row>
    <row r="840" spans="1:14" ht="12.75">
      <c r="A840" s="30"/>
      <c r="B840" s="30"/>
      <c r="C840" s="30"/>
      <c r="D840" s="30"/>
      <c r="E840" s="30"/>
      <c r="F840" s="30"/>
      <c r="G840" s="30"/>
      <c r="H840" s="30"/>
      <c r="I840" s="30"/>
      <c r="J840" s="30"/>
      <c r="K840" s="30"/>
      <c r="L840" s="30"/>
      <c r="M840" s="30"/>
      <c r="N840" s="30"/>
    </row>
    <row r="841" spans="1:14" ht="12.75">
      <c r="A841" s="30"/>
      <c r="B841" s="30"/>
      <c r="C841" s="30"/>
      <c r="D841" s="30"/>
      <c r="E841" s="30"/>
      <c r="F841" s="30"/>
      <c r="G841" s="30"/>
      <c r="H841" s="30"/>
      <c r="I841" s="30"/>
      <c r="J841" s="30"/>
      <c r="K841" s="30"/>
      <c r="L841" s="30"/>
      <c r="M841" s="30"/>
      <c r="N841" s="30"/>
    </row>
    <row r="842" spans="1:14" ht="12.75">
      <c r="A842" s="30"/>
      <c r="B842" s="30"/>
      <c r="C842" s="30"/>
      <c r="D842" s="30"/>
      <c r="E842" s="30"/>
      <c r="F842" s="30"/>
      <c r="G842" s="30"/>
      <c r="H842" s="30"/>
      <c r="I842" s="30"/>
      <c r="J842" s="30"/>
      <c r="K842" s="30"/>
      <c r="L842" s="30"/>
      <c r="M842" s="30"/>
      <c r="N842" s="30"/>
    </row>
    <row r="843" spans="1:14" ht="12.75">
      <c r="A843" s="30"/>
      <c r="B843" s="30"/>
      <c r="C843" s="30"/>
      <c r="D843" s="30"/>
      <c r="E843" s="30"/>
      <c r="F843" s="30"/>
      <c r="G843" s="30"/>
      <c r="H843" s="30"/>
      <c r="I843" s="30"/>
      <c r="J843" s="30"/>
      <c r="K843" s="30"/>
      <c r="L843" s="30"/>
      <c r="M843" s="30"/>
      <c r="N843" s="30"/>
    </row>
    <row r="844" spans="1:14" ht="12.75">
      <c r="A844" s="30"/>
      <c r="B844" s="30"/>
      <c r="C844" s="30"/>
      <c r="D844" s="30"/>
      <c r="E844" s="30"/>
      <c r="F844" s="30"/>
      <c r="G844" s="30"/>
      <c r="H844" s="30"/>
      <c r="I844" s="30"/>
      <c r="J844" s="30"/>
      <c r="K844" s="30"/>
      <c r="L844" s="30"/>
      <c r="M844" s="30"/>
      <c r="N844" s="30"/>
    </row>
    <row r="845" spans="1:14" ht="12.75">
      <c r="A845" s="30"/>
      <c r="B845" s="30"/>
      <c r="C845" s="30"/>
      <c r="D845" s="30"/>
      <c r="E845" s="30"/>
      <c r="F845" s="30"/>
      <c r="G845" s="30"/>
      <c r="H845" s="30"/>
      <c r="I845" s="30"/>
      <c r="J845" s="30"/>
      <c r="K845" s="30"/>
      <c r="L845" s="30"/>
      <c r="M845" s="30"/>
      <c r="N845" s="30"/>
    </row>
    <row r="846" spans="1:14" ht="12.75">
      <c r="A846" s="30"/>
      <c r="B846" s="30"/>
      <c r="C846" s="30"/>
      <c r="D846" s="30"/>
      <c r="E846" s="30"/>
      <c r="F846" s="30"/>
      <c r="G846" s="30"/>
      <c r="H846" s="30"/>
      <c r="I846" s="30"/>
      <c r="J846" s="30"/>
      <c r="K846" s="30"/>
      <c r="L846" s="30"/>
      <c r="M846" s="30"/>
      <c r="N846" s="30"/>
    </row>
    <row r="847" spans="1:14" ht="12.75">
      <c r="A847" s="30"/>
      <c r="B847" s="30"/>
      <c r="C847" s="30"/>
      <c r="D847" s="30"/>
      <c r="E847" s="30"/>
      <c r="F847" s="30"/>
      <c r="G847" s="30"/>
      <c r="H847" s="30"/>
      <c r="I847" s="30"/>
      <c r="J847" s="30"/>
      <c r="K847" s="30"/>
      <c r="L847" s="30"/>
      <c r="M847" s="30"/>
      <c r="N847" s="30"/>
    </row>
    <row r="848" spans="1:14" ht="12.75">
      <c r="A848" s="30"/>
      <c r="B848" s="30"/>
      <c r="C848" s="30"/>
      <c r="D848" s="30"/>
      <c r="E848" s="30"/>
      <c r="F848" s="30"/>
      <c r="G848" s="30"/>
      <c r="H848" s="30"/>
      <c r="I848" s="30"/>
      <c r="J848" s="30"/>
      <c r="K848" s="30"/>
      <c r="L848" s="30"/>
      <c r="M848" s="30"/>
      <c r="N848" s="30"/>
    </row>
    <row r="849" spans="1:14" ht="12.75">
      <c r="A849" s="30"/>
      <c r="B849" s="30"/>
      <c r="C849" s="30"/>
      <c r="D849" s="30"/>
      <c r="E849" s="30"/>
      <c r="F849" s="30"/>
      <c r="G849" s="30"/>
      <c r="H849" s="30"/>
      <c r="I849" s="30"/>
      <c r="J849" s="30"/>
      <c r="K849" s="30"/>
      <c r="L849" s="30"/>
      <c r="M849" s="30"/>
      <c r="N849" s="30"/>
    </row>
    <row r="850" spans="1:14" ht="12.75">
      <c r="A850" s="30"/>
      <c r="B850" s="30"/>
      <c r="C850" s="30"/>
      <c r="D850" s="30"/>
      <c r="E850" s="30"/>
      <c r="F850" s="30"/>
      <c r="G850" s="30"/>
      <c r="H850" s="30"/>
      <c r="I850" s="30"/>
      <c r="J850" s="30"/>
      <c r="K850" s="30"/>
      <c r="L850" s="30"/>
      <c r="M850" s="30"/>
      <c r="N850" s="30"/>
    </row>
    <row r="851" spans="1:14" ht="12.75">
      <c r="A851" s="30"/>
      <c r="B851" s="30"/>
      <c r="C851" s="30"/>
      <c r="D851" s="30"/>
      <c r="E851" s="30"/>
      <c r="F851" s="30"/>
      <c r="G851" s="30"/>
      <c r="H851" s="30"/>
      <c r="I851" s="30"/>
      <c r="J851" s="30"/>
      <c r="K851" s="30"/>
      <c r="L851" s="30"/>
      <c r="M851" s="30"/>
      <c r="N851" s="30"/>
    </row>
    <row r="852" spans="1:14" ht="12.75">
      <c r="A852" s="30"/>
      <c r="B852" s="30"/>
      <c r="C852" s="30"/>
      <c r="D852" s="30"/>
      <c r="E852" s="30"/>
      <c r="F852" s="30"/>
      <c r="G852" s="30"/>
      <c r="H852" s="30"/>
      <c r="I852" s="30"/>
      <c r="J852" s="30"/>
      <c r="K852" s="30"/>
      <c r="L852" s="30"/>
      <c r="M852" s="30"/>
      <c r="N852" s="30"/>
    </row>
    <row r="853" spans="1:14" ht="12.75">
      <c r="A853" s="30"/>
      <c r="B853" s="30"/>
      <c r="C853" s="30"/>
      <c r="D853" s="30"/>
      <c r="E853" s="30"/>
      <c r="F853" s="30"/>
      <c r="G853" s="30"/>
      <c r="H853" s="30"/>
      <c r="I853" s="30"/>
      <c r="J853" s="30"/>
      <c r="K853" s="30"/>
      <c r="L853" s="30"/>
      <c r="M853" s="30"/>
      <c r="N853" s="30"/>
    </row>
    <row r="854" spans="1:14" ht="12.75">
      <c r="A854" s="30"/>
      <c r="B854" s="30"/>
      <c r="C854" s="30"/>
      <c r="D854" s="30"/>
      <c r="E854" s="30"/>
      <c r="F854" s="30"/>
      <c r="G854" s="30"/>
      <c r="H854" s="30"/>
      <c r="I854" s="30"/>
      <c r="J854" s="30"/>
      <c r="K854" s="30"/>
      <c r="L854" s="30"/>
      <c r="M854" s="30"/>
      <c r="N854" s="30"/>
    </row>
    <row r="855" spans="1:14" ht="12.75">
      <c r="A855" s="30"/>
      <c r="B855" s="30"/>
      <c r="C855" s="30"/>
      <c r="D855" s="30"/>
      <c r="E855" s="30"/>
      <c r="F855" s="30"/>
      <c r="G855" s="30"/>
      <c r="H855" s="30"/>
      <c r="I855" s="30"/>
      <c r="J855" s="30"/>
      <c r="K855" s="30"/>
      <c r="L855" s="30"/>
      <c r="M855" s="30"/>
      <c r="N855" s="30"/>
    </row>
    <row r="856" spans="1:14" ht="12.75">
      <c r="A856" s="30"/>
      <c r="B856" s="30"/>
      <c r="C856" s="30"/>
      <c r="D856" s="30"/>
      <c r="E856" s="30"/>
      <c r="F856" s="30"/>
      <c r="G856" s="30"/>
      <c r="H856" s="30"/>
      <c r="I856" s="30"/>
      <c r="J856" s="30"/>
      <c r="K856" s="30"/>
      <c r="L856" s="30"/>
      <c r="M856" s="30"/>
      <c r="N856" s="30"/>
    </row>
    <row r="857" spans="1:14" ht="12.75">
      <c r="A857" s="30"/>
      <c r="B857" s="30"/>
      <c r="C857" s="30"/>
      <c r="D857" s="30"/>
      <c r="E857" s="30"/>
      <c r="F857" s="30"/>
      <c r="G857" s="30"/>
      <c r="H857" s="30"/>
      <c r="I857" s="30"/>
      <c r="J857" s="30"/>
      <c r="K857" s="30"/>
      <c r="L857" s="30"/>
      <c r="M857" s="30"/>
      <c r="N857" s="30"/>
    </row>
    <row r="858" spans="1:14" ht="12.75">
      <c r="A858" s="30"/>
      <c r="B858" s="30"/>
      <c r="C858" s="30"/>
      <c r="D858" s="30"/>
      <c r="E858" s="30"/>
      <c r="F858" s="30"/>
      <c r="G858" s="30"/>
      <c r="H858" s="30"/>
      <c r="I858" s="30"/>
      <c r="J858" s="30"/>
      <c r="K858" s="30"/>
      <c r="L858" s="30"/>
      <c r="M858" s="30"/>
      <c r="N858" s="30"/>
    </row>
    <row r="859" spans="1:14" ht="12.75">
      <c r="A859" s="30"/>
      <c r="B859" s="30"/>
      <c r="C859" s="30"/>
      <c r="D859" s="30"/>
      <c r="E859" s="30"/>
      <c r="F859" s="30"/>
      <c r="G859" s="30"/>
      <c r="H859" s="30"/>
      <c r="I859" s="30"/>
      <c r="J859" s="30"/>
      <c r="K859" s="30"/>
      <c r="L859" s="30"/>
      <c r="M859" s="30"/>
      <c r="N859" s="30"/>
    </row>
    <row r="860" spans="1:14" ht="12.75">
      <c r="A860" s="30"/>
      <c r="B860" s="30"/>
      <c r="C860" s="30"/>
      <c r="D860" s="30"/>
      <c r="E860" s="30"/>
      <c r="F860" s="30"/>
      <c r="G860" s="30"/>
      <c r="H860" s="30"/>
      <c r="I860" s="30"/>
      <c r="J860" s="30"/>
      <c r="K860" s="30"/>
      <c r="L860" s="30"/>
      <c r="M860" s="30"/>
      <c r="N860" s="30"/>
    </row>
    <row r="861" spans="1:14" ht="12.75">
      <c r="A861" s="30"/>
      <c r="B861" s="30"/>
      <c r="C861" s="30"/>
      <c r="D861" s="30"/>
      <c r="E861" s="30"/>
      <c r="F861" s="30"/>
      <c r="G861" s="30"/>
      <c r="H861" s="30"/>
      <c r="I861" s="30"/>
      <c r="J861" s="30"/>
      <c r="K861" s="30"/>
      <c r="L861" s="30"/>
      <c r="M861" s="30"/>
      <c r="N861" s="30"/>
    </row>
    <row r="862" spans="1:14" ht="12.75">
      <c r="A862" s="30"/>
      <c r="B862" s="30"/>
      <c r="C862" s="30"/>
      <c r="D862" s="30"/>
      <c r="E862" s="30"/>
      <c r="F862" s="30"/>
      <c r="G862" s="30"/>
      <c r="H862" s="30"/>
      <c r="I862" s="30"/>
      <c r="J862" s="30"/>
      <c r="K862" s="30"/>
      <c r="L862" s="30"/>
      <c r="M862" s="30"/>
      <c r="N862" s="30"/>
    </row>
    <row r="863" spans="1:14" ht="12.75">
      <c r="A863" s="30"/>
      <c r="B863" s="30"/>
      <c r="C863" s="30"/>
      <c r="D863" s="30"/>
      <c r="E863" s="30"/>
      <c r="F863" s="30"/>
      <c r="G863" s="30"/>
      <c r="H863" s="30"/>
      <c r="I863" s="30"/>
      <c r="J863" s="30"/>
      <c r="K863" s="30"/>
      <c r="L863" s="30"/>
      <c r="M863" s="30"/>
      <c r="N863" s="30"/>
    </row>
    <row r="864" spans="1:14" ht="12.75">
      <c r="A864" s="30"/>
      <c r="B864" s="30"/>
      <c r="C864" s="30"/>
      <c r="D864" s="30"/>
      <c r="E864" s="30"/>
      <c r="F864" s="30"/>
      <c r="G864" s="30"/>
      <c r="H864" s="30"/>
      <c r="I864" s="30"/>
      <c r="J864" s="30"/>
      <c r="K864" s="30"/>
      <c r="L864" s="30"/>
      <c r="M864" s="30"/>
      <c r="N864" s="30"/>
    </row>
    <row r="865" spans="1:14" ht="12.75">
      <c r="A865" s="30"/>
      <c r="B865" s="30"/>
      <c r="C865" s="30"/>
      <c r="D865" s="30"/>
      <c r="E865" s="30"/>
      <c r="F865" s="30"/>
      <c r="G865" s="30"/>
      <c r="H865" s="30"/>
      <c r="I865" s="30"/>
      <c r="J865" s="30"/>
      <c r="K865" s="30"/>
      <c r="L865" s="30"/>
      <c r="M865" s="30"/>
      <c r="N865" s="30"/>
    </row>
    <row r="866" spans="1:14" ht="12.75">
      <c r="A866" s="30"/>
      <c r="B866" s="30"/>
      <c r="C866" s="30"/>
      <c r="D866" s="30"/>
      <c r="E866" s="30"/>
      <c r="F866" s="30"/>
      <c r="G866" s="30"/>
      <c r="H866" s="30"/>
      <c r="I866" s="30"/>
      <c r="J866" s="30"/>
      <c r="K866" s="30"/>
      <c r="L866" s="30"/>
      <c r="M866" s="30"/>
      <c r="N866" s="30"/>
    </row>
    <row r="867" spans="1:14" ht="12.75">
      <c r="A867" s="30"/>
      <c r="B867" s="30"/>
      <c r="C867" s="30"/>
      <c r="D867" s="30"/>
      <c r="E867" s="30"/>
      <c r="F867" s="30"/>
      <c r="G867" s="30"/>
      <c r="H867" s="30"/>
      <c r="I867" s="30"/>
      <c r="J867" s="30"/>
      <c r="K867" s="30"/>
      <c r="L867" s="30"/>
      <c r="M867" s="30"/>
      <c r="N867" s="30"/>
    </row>
    <row r="868" spans="1:14" ht="12.75">
      <c r="A868" s="30"/>
      <c r="B868" s="30"/>
      <c r="C868" s="30"/>
      <c r="D868" s="30"/>
      <c r="E868" s="30"/>
      <c r="F868" s="30"/>
      <c r="G868" s="30"/>
      <c r="H868" s="30"/>
      <c r="I868" s="30"/>
      <c r="J868" s="30"/>
      <c r="K868" s="30"/>
      <c r="L868" s="30"/>
      <c r="M868" s="30"/>
      <c r="N868" s="30"/>
    </row>
    <row r="869" spans="1:14" ht="12.75">
      <c r="A869" s="30"/>
      <c r="B869" s="30"/>
      <c r="C869" s="30"/>
      <c r="D869" s="30"/>
      <c r="E869" s="30"/>
      <c r="F869" s="30"/>
      <c r="G869" s="30"/>
      <c r="H869" s="30"/>
      <c r="I869" s="30"/>
      <c r="J869" s="30"/>
      <c r="K869" s="30"/>
      <c r="L869" s="30"/>
      <c r="M869" s="30"/>
      <c r="N869" s="30"/>
    </row>
    <row r="870" spans="1:14" ht="12.75">
      <c r="A870" s="30"/>
      <c r="B870" s="30"/>
      <c r="C870" s="30"/>
      <c r="D870" s="30"/>
      <c r="E870" s="30"/>
      <c r="F870" s="30"/>
      <c r="G870" s="30"/>
      <c r="H870" s="30"/>
      <c r="I870" s="30"/>
      <c r="J870" s="30"/>
      <c r="K870" s="30"/>
      <c r="L870" s="30"/>
      <c r="M870" s="30"/>
      <c r="N870" s="30"/>
    </row>
    <row r="871" spans="1:14" ht="12.75">
      <c r="A871" s="30"/>
      <c r="B871" s="30"/>
      <c r="C871" s="30"/>
      <c r="D871" s="30"/>
      <c r="E871" s="30"/>
      <c r="F871" s="30"/>
      <c r="G871" s="30"/>
      <c r="H871" s="30"/>
      <c r="I871" s="30"/>
      <c r="J871" s="30"/>
      <c r="K871" s="30"/>
      <c r="L871" s="30"/>
      <c r="M871" s="30"/>
      <c r="N871" s="30"/>
    </row>
    <row r="872" spans="1:14" ht="12.75">
      <c r="A872" s="30"/>
      <c r="B872" s="30"/>
      <c r="C872" s="30"/>
      <c r="D872" s="30"/>
      <c r="E872" s="30"/>
      <c r="F872" s="30"/>
      <c r="G872" s="30"/>
      <c r="H872" s="30"/>
      <c r="I872" s="30"/>
      <c r="J872" s="30"/>
      <c r="K872" s="30"/>
      <c r="L872" s="30"/>
      <c r="M872" s="30"/>
      <c r="N872" s="30"/>
    </row>
    <row r="873" spans="1:14" ht="12.75">
      <c r="A873" s="30"/>
      <c r="B873" s="30"/>
      <c r="C873" s="30"/>
      <c r="D873" s="30"/>
      <c r="E873" s="30"/>
      <c r="F873" s="30"/>
      <c r="G873" s="30"/>
      <c r="H873" s="30"/>
      <c r="I873" s="30"/>
      <c r="J873" s="30"/>
      <c r="K873" s="30"/>
      <c r="L873" s="30"/>
      <c r="M873" s="30"/>
      <c r="N873" s="30"/>
    </row>
    <row r="874" spans="1:14" ht="12.75">
      <c r="A874" s="30"/>
      <c r="B874" s="30"/>
      <c r="C874" s="30"/>
      <c r="D874" s="30"/>
      <c r="E874" s="30"/>
      <c r="F874" s="30"/>
      <c r="G874" s="30"/>
      <c r="H874" s="30"/>
      <c r="I874" s="30"/>
      <c r="J874" s="30"/>
      <c r="K874" s="30"/>
      <c r="L874" s="30"/>
      <c r="M874" s="30"/>
      <c r="N874" s="30"/>
    </row>
    <row r="875" spans="1:14" ht="12.75">
      <c r="A875" s="30"/>
      <c r="B875" s="30"/>
      <c r="C875" s="30"/>
      <c r="D875" s="30"/>
      <c r="E875" s="30"/>
      <c r="F875" s="30"/>
      <c r="G875" s="30"/>
      <c r="H875" s="30"/>
      <c r="I875" s="30"/>
      <c r="J875" s="30"/>
      <c r="K875" s="30"/>
      <c r="L875" s="30"/>
      <c r="M875" s="30"/>
      <c r="N875" s="30"/>
    </row>
    <row r="876" spans="1:14" ht="12.75">
      <c r="A876" s="30"/>
      <c r="B876" s="30"/>
      <c r="C876" s="30"/>
      <c r="D876" s="30"/>
      <c r="E876" s="30"/>
      <c r="F876" s="30"/>
      <c r="G876" s="30"/>
      <c r="H876" s="30"/>
      <c r="I876" s="30"/>
      <c r="J876" s="30"/>
      <c r="K876" s="30"/>
      <c r="L876" s="30"/>
      <c r="M876" s="30"/>
      <c r="N876" s="30"/>
    </row>
    <row r="877" spans="1:14" ht="12.75">
      <c r="A877" s="30"/>
      <c r="B877" s="30"/>
      <c r="C877" s="30"/>
      <c r="D877" s="30"/>
      <c r="E877" s="30"/>
      <c r="F877" s="30"/>
      <c r="G877" s="30"/>
      <c r="H877" s="30"/>
      <c r="I877" s="30"/>
      <c r="J877" s="30"/>
      <c r="K877" s="30"/>
      <c r="L877" s="30"/>
      <c r="M877" s="30"/>
      <c r="N877" s="30"/>
    </row>
    <row r="878" spans="1:14" ht="12.75">
      <c r="A878" s="30"/>
      <c r="B878" s="30"/>
      <c r="C878" s="30"/>
      <c r="D878" s="30"/>
      <c r="E878" s="30"/>
      <c r="F878" s="30"/>
      <c r="G878" s="30"/>
      <c r="H878" s="30"/>
      <c r="I878" s="30"/>
      <c r="J878" s="30"/>
      <c r="K878" s="30"/>
      <c r="L878" s="30"/>
      <c r="M878" s="30"/>
      <c r="N878" s="30"/>
    </row>
    <row r="879" spans="1:14" ht="12.75">
      <c r="A879" s="30"/>
      <c r="B879" s="30"/>
      <c r="C879" s="30"/>
      <c r="D879" s="30"/>
      <c r="E879" s="30"/>
      <c r="F879" s="30"/>
      <c r="G879" s="30"/>
      <c r="H879" s="30"/>
      <c r="I879" s="30"/>
      <c r="J879" s="30"/>
      <c r="K879" s="30"/>
      <c r="L879" s="30"/>
      <c r="M879" s="30"/>
      <c r="N879" s="30"/>
    </row>
    <row r="880" spans="1:14" ht="12.75">
      <c r="A880" s="30"/>
      <c r="B880" s="30"/>
      <c r="C880" s="30"/>
      <c r="D880" s="30"/>
      <c r="E880" s="30"/>
      <c r="F880" s="30"/>
      <c r="G880" s="30"/>
      <c r="H880" s="30"/>
      <c r="I880" s="30"/>
      <c r="J880" s="30"/>
      <c r="K880" s="30"/>
      <c r="L880" s="30"/>
      <c r="M880" s="30"/>
      <c r="N880" s="30"/>
    </row>
    <row r="881" spans="1:14" ht="12.75">
      <c r="A881" s="30"/>
      <c r="B881" s="30"/>
      <c r="C881" s="30"/>
      <c r="D881" s="30"/>
      <c r="E881" s="30"/>
      <c r="F881" s="30"/>
      <c r="G881" s="30"/>
      <c r="H881" s="30"/>
      <c r="I881" s="30"/>
      <c r="J881" s="30"/>
      <c r="K881" s="30"/>
      <c r="L881" s="30"/>
      <c r="M881" s="30"/>
      <c r="N881" s="30"/>
    </row>
    <row r="882" spans="1:14" ht="12.75">
      <c r="A882" s="30"/>
      <c r="B882" s="30"/>
      <c r="C882" s="30"/>
      <c r="D882" s="30"/>
      <c r="E882" s="30"/>
      <c r="F882" s="30"/>
      <c r="G882" s="30"/>
      <c r="H882" s="30"/>
      <c r="I882" s="30"/>
      <c r="J882" s="30"/>
      <c r="K882" s="30"/>
      <c r="L882" s="30"/>
      <c r="M882" s="30"/>
      <c r="N882" s="30"/>
    </row>
    <row r="883" spans="1:14" ht="12.75">
      <c r="A883" s="30"/>
      <c r="B883" s="30"/>
      <c r="C883" s="30"/>
      <c r="D883" s="30"/>
      <c r="E883" s="30"/>
      <c r="F883" s="30"/>
      <c r="G883" s="30"/>
      <c r="H883" s="30"/>
      <c r="I883" s="30"/>
      <c r="J883" s="30"/>
      <c r="K883" s="30"/>
      <c r="L883" s="30"/>
      <c r="M883" s="30"/>
      <c r="N883" s="30"/>
    </row>
    <row r="884" spans="1:14" ht="12.75">
      <c r="A884" s="30"/>
      <c r="B884" s="30"/>
      <c r="C884" s="30"/>
      <c r="D884" s="30"/>
      <c r="E884" s="30"/>
      <c r="F884" s="30"/>
      <c r="G884" s="30"/>
      <c r="H884" s="30"/>
      <c r="I884" s="30"/>
      <c r="J884" s="30"/>
      <c r="K884" s="30"/>
      <c r="L884" s="30"/>
      <c r="M884" s="30"/>
      <c r="N884" s="30"/>
    </row>
    <row r="885" spans="1:14" ht="12.75">
      <c r="A885" s="30"/>
      <c r="B885" s="30"/>
      <c r="C885" s="30"/>
      <c r="D885" s="30"/>
      <c r="E885" s="30"/>
      <c r="F885" s="30"/>
      <c r="G885" s="30"/>
      <c r="H885" s="30"/>
      <c r="I885" s="30"/>
      <c r="J885" s="30"/>
      <c r="K885" s="30"/>
      <c r="L885" s="30"/>
      <c r="M885" s="30"/>
      <c r="N885" s="30"/>
    </row>
    <row r="886" spans="1:14" ht="12.75">
      <c r="A886" s="30"/>
      <c r="B886" s="30"/>
      <c r="C886" s="30"/>
      <c r="D886" s="30"/>
      <c r="E886" s="30"/>
      <c r="F886" s="30"/>
      <c r="G886" s="30"/>
      <c r="H886" s="30"/>
      <c r="I886" s="30"/>
      <c r="J886" s="30"/>
      <c r="K886" s="30"/>
      <c r="L886" s="30"/>
      <c r="M886" s="30"/>
      <c r="N886" s="30"/>
    </row>
    <row r="887" spans="1:14" ht="12.75">
      <c r="A887" s="30"/>
      <c r="B887" s="30"/>
      <c r="C887" s="30"/>
      <c r="D887" s="30"/>
      <c r="E887" s="30"/>
      <c r="F887" s="30"/>
      <c r="G887" s="30"/>
      <c r="H887" s="30"/>
      <c r="I887" s="30"/>
      <c r="J887" s="30"/>
      <c r="K887" s="30"/>
      <c r="L887" s="30"/>
      <c r="M887" s="30"/>
      <c r="N887" s="30"/>
    </row>
    <row r="888" spans="1:14" ht="12.75">
      <c r="A888" s="30"/>
      <c r="B888" s="30"/>
      <c r="C888" s="30"/>
      <c r="D888" s="30"/>
      <c r="E888" s="30"/>
      <c r="F888" s="30"/>
      <c r="G888" s="30"/>
      <c r="H888" s="30"/>
      <c r="I888" s="30"/>
      <c r="J888" s="30"/>
      <c r="K888" s="30"/>
      <c r="L888" s="30"/>
      <c r="M888" s="30"/>
      <c r="N888" s="30"/>
    </row>
    <row r="889" spans="1:14" ht="12.75">
      <c r="A889" s="30"/>
      <c r="B889" s="30"/>
      <c r="C889" s="30"/>
      <c r="D889" s="30"/>
      <c r="E889" s="30"/>
      <c r="F889" s="30"/>
      <c r="G889" s="30"/>
      <c r="H889" s="30"/>
      <c r="I889" s="30"/>
      <c r="J889" s="30"/>
      <c r="K889" s="30"/>
      <c r="L889" s="30"/>
      <c r="M889" s="30"/>
      <c r="N889" s="30"/>
    </row>
    <row r="890" spans="1:14" ht="12.75">
      <c r="A890" s="30"/>
      <c r="B890" s="30"/>
      <c r="C890" s="30"/>
      <c r="D890" s="30"/>
      <c r="E890" s="30"/>
      <c r="F890" s="30"/>
      <c r="G890" s="30"/>
      <c r="H890" s="30"/>
      <c r="I890" s="30"/>
      <c r="J890" s="30"/>
      <c r="K890" s="30"/>
      <c r="L890" s="30"/>
      <c r="M890" s="30"/>
      <c r="N890" s="30"/>
    </row>
    <row r="891" spans="1:14" ht="12.75">
      <c r="A891" s="30"/>
      <c r="B891" s="30"/>
      <c r="C891" s="30"/>
      <c r="D891" s="30"/>
      <c r="E891" s="30"/>
      <c r="F891" s="30"/>
      <c r="G891" s="30"/>
      <c r="H891" s="30"/>
      <c r="I891" s="30"/>
      <c r="J891" s="30"/>
      <c r="K891" s="30"/>
      <c r="L891" s="30"/>
      <c r="M891" s="30"/>
      <c r="N891" s="30"/>
    </row>
    <row r="892" spans="1:14" ht="12.75">
      <c r="A892" s="30"/>
      <c r="B892" s="30"/>
      <c r="C892" s="30"/>
      <c r="D892" s="30"/>
      <c r="E892" s="30"/>
      <c r="F892" s="30"/>
      <c r="G892" s="30"/>
      <c r="H892" s="30"/>
      <c r="I892" s="30"/>
      <c r="J892" s="30"/>
      <c r="K892" s="30"/>
      <c r="L892" s="30"/>
      <c r="M892" s="30"/>
      <c r="N892" s="30"/>
    </row>
    <row r="893" spans="1:14" ht="12.75">
      <c r="A893" s="30"/>
      <c r="B893" s="30"/>
      <c r="C893" s="30"/>
      <c r="D893" s="30"/>
      <c r="E893" s="30"/>
      <c r="F893" s="30"/>
      <c r="G893" s="30"/>
      <c r="H893" s="30"/>
      <c r="I893" s="30"/>
      <c r="J893" s="30"/>
      <c r="K893" s="30"/>
      <c r="L893" s="30"/>
      <c r="M893" s="30"/>
      <c r="N893" s="30"/>
    </row>
    <row r="894" spans="1:14" ht="12.75">
      <c r="A894" s="30"/>
      <c r="B894" s="30"/>
      <c r="C894" s="30"/>
      <c r="D894" s="30"/>
      <c r="E894" s="30"/>
      <c r="F894" s="30"/>
      <c r="G894" s="30"/>
      <c r="H894" s="30"/>
      <c r="I894" s="30"/>
      <c r="J894" s="30"/>
      <c r="K894" s="30"/>
      <c r="L894" s="30"/>
      <c r="M894" s="30"/>
      <c r="N894" s="30"/>
    </row>
    <row r="895" spans="1:14" ht="12.75">
      <c r="A895" s="30"/>
      <c r="B895" s="30"/>
      <c r="C895" s="30"/>
      <c r="D895" s="30"/>
      <c r="E895" s="30"/>
      <c r="F895" s="30"/>
      <c r="G895" s="30"/>
      <c r="H895" s="30"/>
      <c r="I895" s="30"/>
      <c r="J895" s="30"/>
      <c r="K895" s="30"/>
      <c r="L895" s="30"/>
      <c r="M895" s="30"/>
      <c r="N895" s="30"/>
    </row>
    <row r="896" spans="1:14" ht="12.75">
      <c r="A896" s="30"/>
      <c r="B896" s="30"/>
      <c r="C896" s="30"/>
      <c r="D896" s="30"/>
      <c r="E896" s="30"/>
      <c r="F896" s="30"/>
      <c r="G896" s="30"/>
      <c r="H896" s="30"/>
      <c r="I896" s="30"/>
      <c r="J896" s="30"/>
      <c r="K896" s="30"/>
      <c r="L896" s="30"/>
      <c r="M896" s="30"/>
      <c r="N896" s="30"/>
    </row>
    <row r="897" spans="1:14" ht="12.75">
      <c r="A897" s="30"/>
      <c r="B897" s="30"/>
      <c r="C897" s="30"/>
      <c r="D897" s="30"/>
      <c r="E897" s="30"/>
      <c r="F897" s="30"/>
      <c r="G897" s="30"/>
      <c r="H897" s="30"/>
      <c r="I897" s="30"/>
      <c r="J897" s="30"/>
      <c r="K897" s="30"/>
      <c r="L897" s="30"/>
      <c r="M897" s="30"/>
      <c r="N897" s="30"/>
    </row>
    <row r="898" spans="1:14" ht="12.75">
      <c r="A898" s="30"/>
      <c r="B898" s="30"/>
      <c r="C898" s="30"/>
      <c r="D898" s="30"/>
      <c r="E898" s="30"/>
      <c r="F898" s="30"/>
      <c r="G898" s="30"/>
      <c r="H898" s="30"/>
      <c r="I898" s="30"/>
      <c r="J898" s="30"/>
      <c r="K898" s="30"/>
      <c r="L898" s="30"/>
      <c r="M898" s="30"/>
      <c r="N898" s="30"/>
    </row>
    <row r="899" spans="1:14" ht="12.75">
      <c r="A899" s="30"/>
      <c r="B899" s="30"/>
      <c r="C899" s="30"/>
      <c r="D899" s="30"/>
      <c r="E899" s="30"/>
      <c r="F899" s="30"/>
      <c r="G899" s="30"/>
      <c r="H899" s="30"/>
      <c r="I899" s="30"/>
      <c r="J899" s="30"/>
      <c r="K899" s="30"/>
      <c r="L899" s="30"/>
      <c r="M899" s="30"/>
      <c r="N899" s="30"/>
    </row>
    <row r="900" spans="1:14" ht="12.75">
      <c r="A900" s="30"/>
      <c r="B900" s="30"/>
      <c r="C900" s="30"/>
      <c r="D900" s="30"/>
      <c r="E900" s="30"/>
      <c r="F900" s="30"/>
      <c r="G900" s="30"/>
      <c r="H900" s="30"/>
      <c r="I900" s="30"/>
      <c r="J900" s="30"/>
      <c r="K900" s="30"/>
      <c r="L900" s="30"/>
      <c r="M900" s="30"/>
      <c r="N900" s="30"/>
    </row>
    <row r="901" spans="1:14" ht="12.75">
      <c r="A901" s="30"/>
      <c r="B901" s="30"/>
      <c r="C901" s="30"/>
      <c r="D901" s="30"/>
      <c r="E901" s="30"/>
      <c r="F901" s="30"/>
      <c r="G901" s="30"/>
      <c r="H901" s="30"/>
      <c r="I901" s="30"/>
      <c r="J901" s="30"/>
      <c r="K901" s="30"/>
      <c r="L901" s="30"/>
      <c r="M901" s="30"/>
      <c r="N901" s="30"/>
    </row>
    <row r="902" spans="1:14" ht="12.75">
      <c r="A902" s="30"/>
      <c r="B902" s="30"/>
      <c r="C902" s="30"/>
      <c r="D902" s="30"/>
      <c r="E902" s="30"/>
      <c r="F902" s="30"/>
      <c r="G902" s="30"/>
      <c r="H902" s="30"/>
      <c r="I902" s="30"/>
      <c r="J902" s="30"/>
      <c r="K902" s="30"/>
      <c r="L902" s="30"/>
      <c r="M902" s="30"/>
      <c r="N902" s="30"/>
    </row>
    <row r="903" spans="1:14" ht="12.75">
      <c r="A903" s="30"/>
      <c r="B903" s="30"/>
      <c r="C903" s="30"/>
      <c r="D903" s="30"/>
      <c r="E903" s="30"/>
      <c r="F903" s="30"/>
      <c r="G903" s="30"/>
      <c r="H903" s="30"/>
      <c r="I903" s="30"/>
      <c r="J903" s="30"/>
      <c r="K903" s="30"/>
      <c r="L903" s="30"/>
      <c r="M903" s="30"/>
      <c r="N903" s="30"/>
    </row>
    <row r="904" spans="1:14" ht="12.75">
      <c r="A904" s="30"/>
      <c r="B904" s="30"/>
      <c r="C904" s="30"/>
      <c r="D904" s="30"/>
      <c r="E904" s="30"/>
      <c r="F904" s="30"/>
      <c r="G904" s="30"/>
      <c r="H904" s="30"/>
      <c r="I904" s="30"/>
      <c r="J904" s="30"/>
      <c r="K904" s="30"/>
      <c r="L904" s="30"/>
      <c r="M904" s="30"/>
      <c r="N904" s="30"/>
    </row>
    <row r="905" spans="1:14" ht="12.75">
      <c r="A905" s="30"/>
      <c r="B905" s="30"/>
      <c r="C905" s="30"/>
      <c r="D905" s="30"/>
      <c r="E905" s="30"/>
      <c r="F905" s="30"/>
      <c r="G905" s="30"/>
      <c r="H905" s="30"/>
      <c r="I905" s="30"/>
      <c r="J905" s="30"/>
      <c r="K905" s="30"/>
      <c r="L905" s="30"/>
      <c r="M905" s="30"/>
      <c r="N905" s="30"/>
    </row>
    <row r="906" spans="1:14" ht="12.75">
      <c r="A906" s="30"/>
      <c r="B906" s="30"/>
      <c r="C906" s="30"/>
      <c r="D906" s="30"/>
      <c r="E906" s="30"/>
      <c r="F906" s="30"/>
      <c r="G906" s="30"/>
      <c r="H906" s="30"/>
      <c r="I906" s="30"/>
      <c r="J906" s="30"/>
      <c r="K906" s="30"/>
      <c r="L906" s="30"/>
      <c r="M906" s="30"/>
      <c r="N906" s="30"/>
    </row>
    <row r="907" spans="1:14" ht="12.75">
      <c r="A907" s="30"/>
      <c r="B907" s="30"/>
      <c r="C907" s="30"/>
      <c r="D907" s="30"/>
      <c r="E907" s="30"/>
      <c r="F907" s="30"/>
      <c r="G907" s="30"/>
      <c r="H907" s="30"/>
      <c r="I907" s="30"/>
      <c r="J907" s="30"/>
      <c r="K907" s="30"/>
      <c r="L907" s="30"/>
      <c r="M907" s="30"/>
      <c r="N907" s="30"/>
    </row>
    <row r="908" spans="1:14" ht="12.75">
      <c r="A908" s="30"/>
      <c r="B908" s="30"/>
      <c r="C908" s="30"/>
      <c r="D908" s="30"/>
      <c r="E908" s="30"/>
      <c r="F908" s="30"/>
      <c r="G908" s="30"/>
      <c r="H908" s="30"/>
      <c r="I908" s="30"/>
      <c r="J908" s="30"/>
      <c r="K908" s="30"/>
      <c r="L908" s="30"/>
      <c r="M908" s="30"/>
      <c r="N908" s="30"/>
    </row>
    <row r="909" spans="1:14" ht="12.75">
      <c r="A909" s="30"/>
      <c r="B909" s="30"/>
      <c r="C909" s="30"/>
      <c r="D909" s="30"/>
      <c r="E909" s="30"/>
      <c r="F909" s="30"/>
      <c r="G909" s="30"/>
      <c r="H909" s="30"/>
      <c r="I909" s="30"/>
      <c r="J909" s="30"/>
      <c r="K909" s="30"/>
      <c r="L909" s="30"/>
      <c r="M909" s="30"/>
      <c r="N909" s="30"/>
    </row>
    <row r="910" spans="1:14" ht="12.75">
      <c r="A910" s="30"/>
      <c r="B910" s="30"/>
      <c r="C910" s="30"/>
      <c r="D910" s="30"/>
      <c r="E910" s="30"/>
      <c r="F910" s="30"/>
      <c r="G910" s="30"/>
      <c r="H910" s="30"/>
      <c r="I910" s="30"/>
      <c r="J910" s="30"/>
      <c r="K910" s="30"/>
      <c r="L910" s="30"/>
      <c r="M910" s="30"/>
      <c r="N910" s="30"/>
    </row>
    <row r="911" spans="1:14" ht="12.75">
      <c r="A911" s="30"/>
      <c r="B911" s="30"/>
      <c r="C911" s="30"/>
      <c r="D911" s="30"/>
      <c r="E911" s="30"/>
      <c r="F911" s="30"/>
      <c r="G911" s="30"/>
      <c r="H911" s="30"/>
      <c r="I911" s="30"/>
      <c r="J911" s="30"/>
      <c r="K911" s="30"/>
      <c r="L911" s="30"/>
      <c r="M911" s="30"/>
      <c r="N911" s="30"/>
    </row>
    <row r="912" spans="1:14" ht="12.75">
      <c r="A912" s="30"/>
      <c r="B912" s="30"/>
      <c r="C912" s="30"/>
      <c r="D912" s="30"/>
      <c r="E912" s="30"/>
      <c r="F912" s="30"/>
      <c r="G912" s="30"/>
      <c r="H912" s="30"/>
      <c r="I912" s="30"/>
      <c r="J912" s="30"/>
      <c r="K912" s="30"/>
      <c r="L912" s="30"/>
      <c r="M912" s="30"/>
      <c r="N912" s="30"/>
    </row>
    <row r="913" spans="1:14" ht="12.75">
      <c r="A913" s="30"/>
      <c r="B913" s="30"/>
      <c r="C913" s="30"/>
      <c r="D913" s="30"/>
      <c r="E913" s="30"/>
      <c r="F913" s="30"/>
      <c r="G913" s="30"/>
      <c r="H913" s="30"/>
      <c r="I913" s="30"/>
      <c r="J913" s="30"/>
      <c r="K913" s="30"/>
      <c r="L913" s="30"/>
      <c r="M913" s="30"/>
      <c r="N913" s="30"/>
    </row>
    <row r="914" spans="1:14" ht="12.75">
      <c r="A914" s="30"/>
      <c r="B914" s="30"/>
      <c r="C914" s="30"/>
      <c r="D914" s="30"/>
      <c r="E914" s="30"/>
      <c r="F914" s="30"/>
      <c r="G914" s="30"/>
      <c r="H914" s="30"/>
      <c r="I914" s="30"/>
      <c r="J914" s="30"/>
      <c r="K914" s="30"/>
      <c r="L914" s="30"/>
      <c r="M914" s="30"/>
      <c r="N914" s="30"/>
    </row>
    <row r="915" spans="1:14" ht="12.75">
      <c r="A915" s="30"/>
      <c r="B915" s="30"/>
      <c r="C915" s="30"/>
      <c r="D915" s="30"/>
      <c r="E915" s="30"/>
      <c r="F915" s="30"/>
      <c r="G915" s="30"/>
      <c r="H915" s="30"/>
      <c r="I915" s="30"/>
      <c r="J915" s="30"/>
      <c r="K915" s="30"/>
      <c r="L915" s="30"/>
      <c r="M915" s="30"/>
      <c r="N915" s="30"/>
    </row>
    <row r="916" spans="1:14" ht="12.75">
      <c r="A916" s="30"/>
      <c r="B916" s="30"/>
      <c r="C916" s="30"/>
      <c r="D916" s="30"/>
      <c r="E916" s="30"/>
      <c r="F916" s="30"/>
      <c r="G916" s="30"/>
      <c r="H916" s="30"/>
      <c r="I916" s="30"/>
      <c r="J916" s="30"/>
      <c r="K916" s="30"/>
      <c r="L916" s="30"/>
      <c r="M916" s="30"/>
      <c r="N916" s="30"/>
    </row>
    <row r="917" spans="1:14" ht="12.75">
      <c r="A917" s="30"/>
      <c r="B917" s="30"/>
      <c r="C917" s="30"/>
      <c r="D917" s="30"/>
      <c r="E917" s="30"/>
      <c r="F917" s="30"/>
      <c r="G917" s="30"/>
      <c r="H917" s="30"/>
      <c r="I917" s="30"/>
      <c r="J917" s="30"/>
      <c r="K917" s="30"/>
      <c r="L917" s="30"/>
      <c r="M917" s="30"/>
      <c r="N917" s="30"/>
    </row>
    <row r="918" spans="1:14" ht="12.75">
      <c r="A918" s="30"/>
      <c r="B918" s="30"/>
      <c r="C918" s="30"/>
      <c r="D918" s="30"/>
      <c r="E918" s="30"/>
      <c r="F918" s="30"/>
      <c r="G918" s="30"/>
      <c r="H918" s="30"/>
      <c r="I918" s="30"/>
      <c r="J918" s="30"/>
      <c r="K918" s="30"/>
      <c r="L918" s="30"/>
      <c r="M918" s="30"/>
      <c r="N918" s="30"/>
    </row>
    <row r="919" spans="1:14" ht="12.75">
      <c r="A919" s="30"/>
      <c r="B919" s="30"/>
      <c r="C919" s="30"/>
      <c r="D919" s="30"/>
      <c r="E919" s="30"/>
      <c r="F919" s="30"/>
      <c r="G919" s="30"/>
      <c r="H919" s="30"/>
      <c r="I919" s="30"/>
      <c r="J919" s="30"/>
      <c r="K919" s="30"/>
      <c r="L919" s="30"/>
      <c r="M919" s="30"/>
      <c r="N919" s="30"/>
    </row>
    <row r="920" spans="1:14" ht="12.75">
      <c r="A920" s="30"/>
      <c r="B920" s="30"/>
      <c r="C920" s="30"/>
      <c r="D920" s="30"/>
      <c r="E920" s="30"/>
      <c r="F920" s="30"/>
      <c r="G920" s="30"/>
      <c r="H920" s="30"/>
      <c r="I920" s="30"/>
      <c r="J920" s="30"/>
      <c r="K920" s="30"/>
      <c r="L920" s="30"/>
      <c r="M920" s="30"/>
      <c r="N920" s="30"/>
    </row>
    <row r="921" spans="1:14" ht="12.75">
      <c r="A921" s="30"/>
      <c r="B921" s="30"/>
      <c r="C921" s="30"/>
      <c r="D921" s="30"/>
      <c r="E921" s="30"/>
      <c r="F921" s="30"/>
      <c r="G921" s="30"/>
      <c r="H921" s="30"/>
      <c r="I921" s="30"/>
      <c r="J921" s="30"/>
      <c r="K921" s="30"/>
      <c r="L921" s="30"/>
      <c r="M921" s="30"/>
      <c r="N921" s="30"/>
    </row>
    <row r="922" spans="1:14" ht="12.75">
      <c r="A922" s="30"/>
      <c r="B922" s="30"/>
      <c r="C922" s="30"/>
      <c r="D922" s="30"/>
      <c r="E922" s="30"/>
      <c r="F922" s="30"/>
      <c r="G922" s="30"/>
      <c r="H922" s="30"/>
      <c r="I922" s="30"/>
      <c r="J922" s="30"/>
      <c r="K922" s="30"/>
      <c r="L922" s="30"/>
      <c r="M922" s="30"/>
      <c r="N922" s="30"/>
    </row>
    <row r="923" spans="1:14" ht="12.75">
      <c r="A923" s="30"/>
      <c r="B923" s="30"/>
      <c r="C923" s="30"/>
      <c r="D923" s="30"/>
      <c r="E923" s="30"/>
      <c r="F923" s="30"/>
      <c r="G923" s="30"/>
      <c r="H923" s="30"/>
      <c r="I923" s="30"/>
      <c r="J923" s="30"/>
      <c r="K923" s="30"/>
      <c r="L923" s="30"/>
      <c r="M923" s="30"/>
      <c r="N923" s="30"/>
    </row>
    <row r="924" spans="1:14" ht="12.75">
      <c r="A924" s="30"/>
      <c r="B924" s="30"/>
      <c r="C924" s="30"/>
      <c r="D924" s="30"/>
      <c r="E924" s="30"/>
      <c r="F924" s="30"/>
      <c r="G924" s="30"/>
      <c r="H924" s="30"/>
      <c r="I924" s="30"/>
      <c r="J924" s="30"/>
      <c r="K924" s="30"/>
      <c r="L924" s="30"/>
      <c r="M924" s="30"/>
      <c r="N924" s="30"/>
    </row>
    <row r="925" spans="1:14" ht="12.75">
      <c r="A925" s="30"/>
      <c r="B925" s="30"/>
      <c r="C925" s="30"/>
      <c r="D925" s="30"/>
      <c r="E925" s="30"/>
      <c r="F925" s="30"/>
      <c r="G925" s="30"/>
      <c r="H925" s="30"/>
      <c r="I925" s="30"/>
      <c r="J925" s="30"/>
      <c r="K925" s="30"/>
      <c r="L925" s="30"/>
      <c r="M925" s="30"/>
      <c r="N925" s="30"/>
    </row>
    <row r="926" spans="1:14" ht="12.75">
      <c r="A926" s="30"/>
      <c r="B926" s="30"/>
      <c r="C926" s="30"/>
      <c r="D926" s="30"/>
      <c r="E926" s="30"/>
      <c r="F926" s="30"/>
      <c r="G926" s="30"/>
      <c r="H926" s="30"/>
      <c r="I926" s="30"/>
      <c r="J926" s="30"/>
      <c r="K926" s="30"/>
      <c r="L926" s="30"/>
      <c r="M926" s="30"/>
      <c r="N926" s="30"/>
    </row>
    <row r="927" spans="1:14" ht="12.75">
      <c r="A927" s="30"/>
      <c r="B927" s="30"/>
      <c r="C927" s="30"/>
      <c r="D927" s="30"/>
      <c r="E927" s="30"/>
      <c r="F927" s="30"/>
      <c r="G927" s="30"/>
      <c r="H927" s="30"/>
      <c r="I927" s="30"/>
      <c r="J927" s="30"/>
      <c r="K927" s="30"/>
      <c r="L927" s="30"/>
      <c r="M927" s="30"/>
      <c r="N927" s="30"/>
    </row>
    <row r="928" spans="1:14" ht="12.75">
      <c r="A928" s="30"/>
      <c r="B928" s="30"/>
      <c r="C928" s="30"/>
      <c r="D928" s="30"/>
      <c r="E928" s="30"/>
      <c r="F928" s="30"/>
      <c r="G928" s="30"/>
      <c r="H928" s="30"/>
      <c r="I928" s="30"/>
      <c r="J928" s="30"/>
      <c r="K928" s="30"/>
      <c r="L928" s="30"/>
      <c r="M928" s="30"/>
      <c r="N928" s="30"/>
    </row>
    <row r="929" spans="1:14" ht="12.75">
      <c r="A929" s="30"/>
      <c r="B929" s="30"/>
      <c r="C929" s="30"/>
      <c r="D929" s="30"/>
      <c r="E929" s="30"/>
      <c r="F929" s="30"/>
      <c r="G929" s="30"/>
      <c r="H929" s="30"/>
      <c r="I929" s="30"/>
      <c r="J929" s="30"/>
      <c r="K929" s="30"/>
      <c r="L929" s="30"/>
      <c r="M929" s="30"/>
      <c r="N929" s="30"/>
    </row>
    <row r="930" spans="1:14" ht="12.75">
      <c r="A930" s="30"/>
      <c r="B930" s="30"/>
      <c r="C930" s="30"/>
      <c r="D930" s="30"/>
      <c r="E930" s="30"/>
      <c r="F930" s="30"/>
      <c r="G930" s="30"/>
      <c r="H930" s="30"/>
      <c r="I930" s="30"/>
      <c r="J930" s="30"/>
      <c r="K930" s="30"/>
      <c r="L930" s="30"/>
      <c r="M930" s="30"/>
      <c r="N930" s="30"/>
    </row>
    <row r="931" spans="1:14" ht="12.75">
      <c r="A931" s="30"/>
      <c r="B931" s="30"/>
      <c r="C931" s="30"/>
      <c r="D931" s="30"/>
      <c r="E931" s="30"/>
      <c r="F931" s="30"/>
      <c r="G931" s="30"/>
      <c r="H931" s="30"/>
      <c r="I931" s="30"/>
      <c r="J931" s="30"/>
      <c r="K931" s="30"/>
      <c r="L931" s="30"/>
      <c r="M931" s="30"/>
      <c r="N931" s="30"/>
    </row>
    <row r="932" spans="1:14" ht="12.75">
      <c r="A932" s="30"/>
      <c r="B932" s="30"/>
      <c r="C932" s="30"/>
      <c r="D932" s="30"/>
      <c r="E932" s="30"/>
      <c r="F932" s="30"/>
      <c r="G932" s="30"/>
      <c r="H932" s="30"/>
      <c r="I932" s="30"/>
      <c r="J932" s="30"/>
      <c r="K932" s="30"/>
      <c r="L932" s="30"/>
      <c r="M932" s="30"/>
      <c r="N932" s="30"/>
    </row>
    <row r="933" spans="1:14" ht="12.75">
      <c r="A933" s="30"/>
      <c r="B933" s="30"/>
      <c r="C933" s="30"/>
      <c r="D933" s="30"/>
      <c r="E933" s="30"/>
      <c r="F933" s="30"/>
      <c r="G933" s="30"/>
      <c r="H933" s="30"/>
      <c r="I933" s="30"/>
      <c r="J933" s="30"/>
      <c r="K933" s="30"/>
      <c r="L933" s="30"/>
      <c r="M933" s="30"/>
      <c r="N933" s="30"/>
    </row>
    <row r="934" spans="1:14" ht="12.75">
      <c r="A934" s="30"/>
      <c r="B934" s="30"/>
      <c r="C934" s="30"/>
      <c r="D934" s="30"/>
      <c r="E934" s="30"/>
      <c r="F934" s="30"/>
      <c r="G934" s="30"/>
      <c r="H934" s="30"/>
      <c r="I934" s="30"/>
      <c r="J934" s="30"/>
      <c r="K934" s="30"/>
      <c r="L934" s="30"/>
      <c r="M934" s="30"/>
      <c r="N934" s="30"/>
    </row>
    <row r="935" spans="1:14" ht="12.75">
      <c r="A935" s="30"/>
      <c r="B935" s="30"/>
      <c r="C935" s="30"/>
      <c r="D935" s="30"/>
      <c r="E935" s="30"/>
      <c r="F935" s="30"/>
      <c r="G935" s="30"/>
      <c r="H935" s="30"/>
      <c r="I935" s="30"/>
      <c r="J935" s="30"/>
      <c r="K935" s="30"/>
      <c r="L935" s="30"/>
      <c r="M935" s="30"/>
      <c r="N935" s="30"/>
    </row>
    <row r="936" spans="1:14" ht="12.75">
      <c r="A936" s="30"/>
      <c r="B936" s="30"/>
      <c r="C936" s="30"/>
      <c r="D936" s="30"/>
      <c r="E936" s="30"/>
      <c r="F936" s="30"/>
      <c r="G936" s="30"/>
      <c r="H936" s="30"/>
      <c r="I936" s="30"/>
      <c r="J936" s="30"/>
      <c r="K936" s="30"/>
      <c r="L936" s="30"/>
      <c r="M936" s="30"/>
      <c r="N936" s="30"/>
    </row>
    <row r="937" spans="1:14" ht="12.75">
      <c r="A937" s="30"/>
      <c r="B937" s="30"/>
      <c r="C937" s="30"/>
      <c r="D937" s="30"/>
      <c r="E937" s="30"/>
      <c r="F937" s="30"/>
      <c r="G937" s="30"/>
      <c r="H937" s="30"/>
      <c r="I937" s="30"/>
      <c r="J937" s="30"/>
      <c r="K937" s="30"/>
      <c r="L937" s="30"/>
      <c r="M937" s="30"/>
      <c r="N937" s="30"/>
    </row>
    <row r="938" spans="1:14" ht="12.75">
      <c r="A938" s="30"/>
      <c r="B938" s="30"/>
      <c r="C938" s="30"/>
      <c r="D938" s="30"/>
      <c r="E938" s="30"/>
      <c r="F938" s="30"/>
      <c r="G938" s="30"/>
      <c r="H938" s="30"/>
      <c r="I938" s="30"/>
      <c r="J938" s="30"/>
      <c r="K938" s="30"/>
      <c r="L938" s="30"/>
      <c r="M938" s="30"/>
      <c r="N938" s="30"/>
    </row>
    <row r="939" spans="1:14" ht="12.75">
      <c r="A939" s="30"/>
      <c r="B939" s="30"/>
      <c r="C939" s="30"/>
      <c r="D939" s="30"/>
      <c r="E939" s="30"/>
      <c r="F939" s="30"/>
      <c r="G939" s="30"/>
      <c r="H939" s="30"/>
      <c r="I939" s="30"/>
      <c r="J939" s="30"/>
      <c r="K939" s="30"/>
      <c r="L939" s="30"/>
      <c r="M939" s="30"/>
      <c r="N939" s="30"/>
    </row>
    <row r="940" spans="1:14" ht="12.75">
      <c r="A940" s="30"/>
      <c r="B940" s="30"/>
      <c r="C940" s="30"/>
      <c r="D940" s="30"/>
      <c r="E940" s="30"/>
      <c r="F940" s="30"/>
      <c r="G940" s="30"/>
      <c r="H940" s="30"/>
      <c r="I940" s="30"/>
      <c r="J940" s="30"/>
      <c r="K940" s="30"/>
      <c r="L940" s="30"/>
      <c r="M940" s="30"/>
      <c r="N940" s="30"/>
    </row>
    <row r="941" spans="1:14" ht="12.75">
      <c r="A941" s="30"/>
      <c r="B941" s="30"/>
      <c r="C941" s="30"/>
      <c r="D941" s="30"/>
      <c r="E941" s="30"/>
      <c r="F941" s="30"/>
      <c r="G941" s="30"/>
      <c r="H941" s="30"/>
      <c r="I941" s="30"/>
      <c r="J941" s="30"/>
      <c r="K941" s="30"/>
      <c r="L941" s="30"/>
      <c r="M941" s="30"/>
      <c r="N941" s="30"/>
    </row>
    <row r="942" spans="1:14" ht="12.75">
      <c r="A942" s="30"/>
      <c r="B942" s="30"/>
      <c r="C942" s="30"/>
      <c r="D942" s="30"/>
      <c r="E942" s="30"/>
      <c r="F942" s="30"/>
      <c r="G942" s="30"/>
      <c r="H942" s="30"/>
      <c r="I942" s="30"/>
      <c r="J942" s="30"/>
      <c r="K942" s="30"/>
      <c r="L942" s="30"/>
      <c r="M942" s="30"/>
      <c r="N942" s="30"/>
    </row>
    <row r="943" spans="1:14" ht="12.75">
      <c r="A943" s="30"/>
      <c r="B943" s="30"/>
      <c r="C943" s="30"/>
      <c r="D943" s="30"/>
      <c r="E943" s="30"/>
      <c r="F943" s="30"/>
      <c r="G943" s="30"/>
      <c r="H943" s="30"/>
      <c r="I943" s="30"/>
      <c r="J943" s="30"/>
      <c r="K943" s="30"/>
      <c r="L943" s="30"/>
      <c r="M943" s="30"/>
      <c r="N943" s="30"/>
    </row>
    <row r="944" spans="1:14" ht="12.75">
      <c r="A944" s="30"/>
      <c r="B944" s="30"/>
      <c r="C944" s="30"/>
      <c r="D944" s="30"/>
      <c r="E944" s="30"/>
      <c r="F944" s="30"/>
      <c r="G944" s="30"/>
      <c r="H944" s="30"/>
      <c r="I944" s="30"/>
      <c r="J944" s="30"/>
      <c r="K944" s="30"/>
      <c r="L944" s="30"/>
      <c r="M944" s="30"/>
      <c r="N944" s="30"/>
    </row>
    <row r="945" spans="1:14" ht="12.75">
      <c r="A945" s="30"/>
      <c r="B945" s="30"/>
      <c r="C945" s="30"/>
      <c r="D945" s="30"/>
      <c r="E945" s="30"/>
      <c r="F945" s="30"/>
      <c r="G945" s="30"/>
      <c r="H945" s="30"/>
      <c r="I945" s="30"/>
      <c r="J945" s="30"/>
      <c r="K945" s="30"/>
      <c r="L945" s="30"/>
      <c r="M945" s="30"/>
      <c r="N945" s="30"/>
    </row>
    <row r="946" spans="1:14" ht="12.75">
      <c r="A946" s="30"/>
      <c r="B946" s="30"/>
      <c r="C946" s="30"/>
      <c r="D946" s="30"/>
      <c r="E946" s="30"/>
      <c r="F946" s="30"/>
      <c r="G946" s="30"/>
      <c r="H946" s="30"/>
      <c r="I946" s="30"/>
      <c r="J946" s="30"/>
      <c r="K946" s="30"/>
      <c r="L946" s="30"/>
      <c r="M946" s="30"/>
      <c r="N946" s="30"/>
    </row>
    <row r="947" spans="1:14" ht="12.75">
      <c r="A947" s="30"/>
      <c r="B947" s="30"/>
      <c r="C947" s="30"/>
      <c r="D947" s="30"/>
      <c r="E947" s="30"/>
      <c r="F947" s="30"/>
      <c r="G947" s="30"/>
      <c r="H947" s="30"/>
      <c r="I947" s="30"/>
      <c r="J947" s="30"/>
      <c r="K947" s="30"/>
      <c r="L947" s="30"/>
      <c r="M947" s="30"/>
      <c r="N947" s="30"/>
    </row>
    <row r="948" spans="1:14" ht="12.75">
      <c r="A948" s="30"/>
      <c r="B948" s="30"/>
      <c r="C948" s="30"/>
      <c r="D948" s="30"/>
      <c r="E948" s="30"/>
      <c r="F948" s="30"/>
      <c r="G948" s="30"/>
      <c r="H948" s="30"/>
      <c r="I948" s="30"/>
      <c r="J948" s="30"/>
      <c r="K948" s="30"/>
      <c r="L948" s="30"/>
      <c r="M948" s="30"/>
      <c r="N948" s="30"/>
    </row>
    <row r="949" spans="1:14" ht="12.75">
      <c r="A949" s="30"/>
      <c r="B949" s="30"/>
      <c r="C949" s="30"/>
      <c r="D949" s="30"/>
      <c r="E949" s="30"/>
      <c r="F949" s="30"/>
      <c r="G949" s="30"/>
      <c r="H949" s="30"/>
      <c r="I949" s="30"/>
      <c r="J949" s="30"/>
      <c r="K949" s="30"/>
      <c r="L949" s="30"/>
      <c r="M949" s="30"/>
      <c r="N949" s="30"/>
    </row>
    <row r="950" spans="1:14" ht="12.75">
      <c r="A950" s="30"/>
      <c r="B950" s="30"/>
      <c r="C950" s="30"/>
      <c r="D950" s="30"/>
      <c r="E950" s="30"/>
      <c r="F950" s="30"/>
      <c r="G950" s="30"/>
      <c r="H950" s="30"/>
      <c r="I950" s="30"/>
      <c r="J950" s="30"/>
      <c r="K950" s="30"/>
      <c r="L950" s="30"/>
      <c r="M950" s="30"/>
      <c r="N950" s="30"/>
    </row>
    <row r="951" spans="1:14" ht="12.75">
      <c r="A951" s="30"/>
      <c r="B951" s="30"/>
      <c r="C951" s="30"/>
      <c r="D951" s="30"/>
      <c r="E951" s="30"/>
      <c r="F951" s="30"/>
      <c r="G951" s="30"/>
      <c r="H951" s="30"/>
      <c r="I951" s="30"/>
      <c r="J951" s="30"/>
      <c r="K951" s="30"/>
      <c r="L951" s="30"/>
      <c r="M951" s="30"/>
      <c r="N951" s="30"/>
    </row>
    <row r="952" spans="1:14" ht="12.75">
      <c r="A952" s="30"/>
      <c r="B952" s="30"/>
      <c r="C952" s="30"/>
      <c r="D952" s="30"/>
      <c r="E952" s="30"/>
      <c r="F952" s="30"/>
      <c r="G952" s="30"/>
      <c r="H952" s="30"/>
      <c r="I952" s="30"/>
      <c r="J952" s="30"/>
      <c r="K952" s="30"/>
      <c r="L952" s="30"/>
      <c r="M952" s="30"/>
      <c r="N952" s="30"/>
    </row>
    <row r="953" spans="1:14" ht="12.75">
      <c r="A953" s="30"/>
      <c r="B953" s="30"/>
      <c r="C953" s="30"/>
      <c r="D953" s="30"/>
      <c r="E953" s="30"/>
      <c r="F953" s="30"/>
      <c r="G953" s="30"/>
      <c r="H953" s="30"/>
      <c r="I953" s="30"/>
      <c r="J953" s="30"/>
      <c r="K953" s="30"/>
      <c r="L953" s="30"/>
      <c r="M953" s="30"/>
      <c r="N953" s="30"/>
    </row>
    <row r="954" spans="1:14" ht="12.75">
      <c r="A954" s="30"/>
      <c r="B954" s="30"/>
      <c r="C954" s="30"/>
      <c r="D954" s="30"/>
      <c r="E954" s="30"/>
      <c r="F954" s="30"/>
      <c r="G954" s="30"/>
      <c r="H954" s="30"/>
      <c r="I954" s="30"/>
      <c r="J954" s="30"/>
      <c r="K954" s="30"/>
      <c r="L954" s="30"/>
      <c r="M954" s="30"/>
      <c r="N954" s="30"/>
    </row>
    <row r="955" spans="1:14" ht="12.75">
      <c r="A955" s="30"/>
      <c r="B955" s="30"/>
      <c r="C955" s="30"/>
      <c r="D955" s="30"/>
      <c r="E955" s="30"/>
      <c r="F955" s="30"/>
      <c r="G955" s="30"/>
      <c r="H955" s="30"/>
      <c r="I955" s="30"/>
      <c r="J955" s="30"/>
      <c r="K955" s="30"/>
      <c r="L955" s="30"/>
      <c r="M955" s="30"/>
      <c r="N955" s="30"/>
    </row>
    <row r="956" spans="1:14" ht="12.75">
      <c r="A956" s="30"/>
      <c r="B956" s="30"/>
      <c r="C956" s="30"/>
      <c r="D956" s="30"/>
      <c r="E956" s="30"/>
      <c r="F956" s="30"/>
      <c r="G956" s="30"/>
      <c r="H956" s="30"/>
      <c r="I956" s="30"/>
      <c r="J956" s="30"/>
      <c r="K956" s="30"/>
      <c r="L956" s="30"/>
      <c r="M956" s="30"/>
      <c r="N956" s="30"/>
    </row>
    <row r="957" spans="1:14" ht="12.75">
      <c r="A957" s="30"/>
      <c r="B957" s="30"/>
      <c r="C957" s="30"/>
      <c r="D957" s="30"/>
      <c r="E957" s="30"/>
      <c r="F957" s="30"/>
      <c r="G957" s="30"/>
      <c r="H957" s="30"/>
      <c r="I957" s="30"/>
      <c r="J957" s="30"/>
      <c r="K957" s="30"/>
      <c r="L957" s="30"/>
      <c r="M957" s="30"/>
      <c r="N957" s="30"/>
    </row>
    <row r="958" spans="1:14" ht="12.75">
      <c r="A958" s="30"/>
      <c r="B958" s="30"/>
      <c r="C958" s="30"/>
      <c r="D958" s="30"/>
      <c r="E958" s="30"/>
      <c r="F958" s="30"/>
      <c r="G958" s="30"/>
      <c r="H958" s="30"/>
      <c r="I958" s="30"/>
      <c r="J958" s="30"/>
      <c r="K958" s="30"/>
      <c r="L958" s="30"/>
      <c r="M958" s="30"/>
      <c r="N958" s="30"/>
    </row>
    <row r="959" spans="1:14" ht="12.75">
      <c r="A959" s="30"/>
      <c r="B959" s="30"/>
      <c r="C959" s="30"/>
      <c r="D959" s="30"/>
      <c r="E959" s="30"/>
      <c r="F959" s="30"/>
      <c r="G959" s="30"/>
      <c r="H959" s="30"/>
      <c r="I959" s="30"/>
      <c r="J959" s="30"/>
      <c r="K959" s="30"/>
      <c r="L959" s="30"/>
      <c r="M959" s="30"/>
      <c r="N959" s="30"/>
    </row>
    <row r="960" spans="1:14" ht="12.75">
      <c r="A960" s="30"/>
      <c r="B960" s="30"/>
      <c r="C960" s="30"/>
      <c r="D960" s="30"/>
      <c r="E960" s="30"/>
      <c r="F960" s="30"/>
      <c r="G960" s="30"/>
      <c r="H960" s="30"/>
      <c r="I960" s="30"/>
      <c r="J960" s="30"/>
      <c r="K960" s="30"/>
      <c r="L960" s="30"/>
      <c r="M960" s="30"/>
      <c r="N960" s="30"/>
    </row>
    <row r="961" spans="1:14" ht="12.75">
      <c r="A961" s="30"/>
      <c r="B961" s="30"/>
      <c r="C961" s="30"/>
      <c r="D961" s="30"/>
      <c r="E961" s="30"/>
      <c r="F961" s="30"/>
      <c r="G961" s="30"/>
      <c r="H961" s="30"/>
      <c r="I961" s="30"/>
      <c r="J961" s="30"/>
      <c r="K961" s="30"/>
      <c r="L961" s="30"/>
      <c r="M961" s="30"/>
      <c r="N961" s="30"/>
    </row>
    <row r="962" spans="1:14" ht="12.75">
      <c r="A962" s="30"/>
      <c r="B962" s="30"/>
      <c r="C962" s="30"/>
      <c r="D962" s="30"/>
      <c r="E962" s="30"/>
      <c r="F962" s="30"/>
      <c r="G962" s="30"/>
      <c r="H962" s="30"/>
      <c r="I962" s="30"/>
      <c r="J962" s="30"/>
      <c r="K962" s="30"/>
      <c r="L962" s="30"/>
      <c r="M962" s="30"/>
      <c r="N962" s="30"/>
    </row>
    <row r="963" spans="1:14" ht="12.75">
      <c r="A963" s="30"/>
      <c r="B963" s="30"/>
      <c r="C963" s="30"/>
      <c r="D963" s="30"/>
      <c r="E963" s="30"/>
      <c r="F963" s="30"/>
      <c r="G963" s="30"/>
      <c r="H963" s="30"/>
      <c r="I963" s="30"/>
      <c r="J963" s="30"/>
      <c r="K963" s="30"/>
      <c r="L963" s="30"/>
      <c r="M963" s="30"/>
      <c r="N963" s="30"/>
    </row>
    <row r="964" spans="1:14" ht="12.75">
      <c r="A964" s="30"/>
      <c r="B964" s="30"/>
      <c r="C964" s="30"/>
      <c r="D964" s="30"/>
      <c r="E964" s="30"/>
      <c r="F964" s="30"/>
      <c r="G964" s="30"/>
      <c r="H964" s="30"/>
      <c r="I964" s="30"/>
      <c r="J964" s="30"/>
      <c r="K964" s="30"/>
      <c r="L964" s="30"/>
      <c r="M964" s="30"/>
      <c r="N964" s="30"/>
    </row>
    <row r="965" spans="1:14" ht="12.75">
      <c r="A965" s="30"/>
      <c r="B965" s="30"/>
      <c r="C965" s="30"/>
      <c r="D965" s="30"/>
      <c r="E965" s="30"/>
      <c r="F965" s="30"/>
      <c r="G965" s="30"/>
      <c r="H965" s="30"/>
      <c r="I965" s="30"/>
      <c r="J965" s="30"/>
      <c r="K965" s="30"/>
      <c r="L965" s="30"/>
      <c r="M965" s="30"/>
      <c r="N965" s="30"/>
    </row>
    <row r="966" spans="1:14" ht="12.75">
      <c r="A966" s="30"/>
      <c r="B966" s="30"/>
      <c r="C966" s="30"/>
      <c r="D966" s="30"/>
      <c r="E966" s="30"/>
      <c r="F966" s="30"/>
      <c r="G966" s="30"/>
      <c r="H966" s="30"/>
      <c r="I966" s="30"/>
      <c r="J966" s="30"/>
      <c r="K966" s="30"/>
      <c r="L966" s="30"/>
      <c r="M966" s="30"/>
      <c r="N966" s="30"/>
    </row>
    <row r="967" spans="1:14" ht="12.75">
      <c r="A967" s="30"/>
      <c r="B967" s="30"/>
      <c r="C967" s="30"/>
      <c r="D967" s="30"/>
      <c r="E967" s="30"/>
      <c r="F967" s="30"/>
      <c r="G967" s="30"/>
      <c r="H967" s="30"/>
      <c r="I967" s="30"/>
      <c r="J967" s="30"/>
      <c r="K967" s="30"/>
      <c r="L967" s="30"/>
      <c r="M967" s="30"/>
      <c r="N967" s="30"/>
    </row>
    <row r="968" spans="1:14" ht="12.75">
      <c r="A968" s="30"/>
      <c r="B968" s="30"/>
      <c r="C968" s="30"/>
      <c r="D968" s="30"/>
      <c r="E968" s="30"/>
      <c r="F968" s="30"/>
      <c r="G968" s="30"/>
      <c r="H968" s="30"/>
      <c r="I968" s="30"/>
      <c r="J968" s="30"/>
      <c r="K968" s="30"/>
      <c r="L968" s="30"/>
      <c r="M968" s="30"/>
      <c r="N968" s="30"/>
    </row>
    <row r="969" spans="1:14" ht="12.75">
      <c r="A969" s="30"/>
      <c r="B969" s="30"/>
      <c r="C969" s="30"/>
      <c r="D969" s="30"/>
      <c r="E969" s="30"/>
      <c r="F969" s="30"/>
      <c r="G969" s="30"/>
      <c r="H969" s="30"/>
      <c r="I969" s="30"/>
      <c r="J969" s="30"/>
      <c r="K969" s="30"/>
      <c r="L969" s="30"/>
      <c r="M969" s="30"/>
      <c r="N969" s="30"/>
    </row>
    <row r="970" spans="1:14" ht="12.75">
      <c r="A970" s="30"/>
      <c r="B970" s="30"/>
      <c r="C970" s="30"/>
      <c r="D970" s="30"/>
      <c r="E970" s="30"/>
      <c r="F970" s="30"/>
      <c r="G970" s="30"/>
      <c r="H970" s="30"/>
      <c r="I970" s="30"/>
      <c r="J970" s="30"/>
      <c r="K970" s="30"/>
      <c r="L970" s="30"/>
      <c r="M970" s="30"/>
      <c r="N970" s="30"/>
    </row>
    <row r="971" spans="1:14" ht="12.75">
      <c r="A971" s="30"/>
      <c r="B971" s="30"/>
      <c r="C971" s="30"/>
      <c r="D971" s="30"/>
      <c r="E971" s="30"/>
      <c r="F971" s="30"/>
      <c r="G971" s="30"/>
      <c r="H971" s="30"/>
      <c r="I971" s="30"/>
      <c r="J971" s="30"/>
      <c r="K971" s="30"/>
      <c r="L971" s="30"/>
      <c r="M971" s="30"/>
      <c r="N971" s="30"/>
    </row>
    <row r="972" spans="1:14" ht="12.75">
      <c r="A972" s="30"/>
      <c r="B972" s="30"/>
      <c r="C972" s="30"/>
      <c r="D972" s="30"/>
      <c r="E972" s="30"/>
      <c r="F972" s="30"/>
      <c r="G972" s="30"/>
      <c r="H972" s="30"/>
      <c r="I972" s="30"/>
      <c r="J972" s="30"/>
      <c r="K972" s="30"/>
      <c r="L972" s="30"/>
      <c r="M972" s="30"/>
      <c r="N972" s="30"/>
    </row>
    <row r="973" spans="1:14" ht="12.75">
      <c r="A973" s="30"/>
      <c r="B973" s="30"/>
      <c r="C973" s="30"/>
      <c r="D973" s="30"/>
      <c r="E973" s="30"/>
      <c r="F973" s="30"/>
      <c r="G973" s="30"/>
      <c r="H973" s="30"/>
      <c r="I973" s="30"/>
      <c r="J973" s="30"/>
      <c r="K973" s="30"/>
      <c r="L973" s="30"/>
      <c r="M973" s="30"/>
      <c r="N973" s="30"/>
    </row>
  </sheetData>
  <mergeCells count="17">
    <mergeCell ref="L38:N38"/>
    <mergeCell ref="L37:N37"/>
    <mergeCell ref="L36:N36"/>
    <mergeCell ref="I38:K38"/>
    <mergeCell ref="F38:H38"/>
    <mergeCell ref="I37:K37"/>
    <mergeCell ref="F37:H37"/>
    <mergeCell ref="C31:E31"/>
    <mergeCell ref="C38:E38"/>
    <mergeCell ref="C37:E37"/>
    <mergeCell ref="F14:H14"/>
    <mergeCell ref="I14:K14"/>
    <mergeCell ref="C14:E14"/>
    <mergeCell ref="L14:N14"/>
    <mergeCell ref="L31:N31"/>
    <mergeCell ref="F31:H31"/>
    <mergeCell ref="I31:K31"/>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4"/>
  <sheetViews>
    <sheetView workbookViewId="0"/>
  </sheetViews>
  <sheetFormatPr defaultColWidth="14.42578125" defaultRowHeight="15.75" customHeight="1"/>
  <cols>
    <col min="1" max="1" width="19.5703125" customWidth="1"/>
    <col min="6" max="6" width="22.7109375" customWidth="1"/>
    <col min="7" max="7" width="19.7109375" customWidth="1"/>
    <col min="10" max="10" width="28" customWidth="1"/>
  </cols>
  <sheetData>
    <row r="1" spans="1:27" ht="15.75" customHeight="1">
      <c r="A1" s="133" t="s">
        <v>860</v>
      </c>
      <c r="B1" s="30"/>
      <c r="C1" s="30"/>
      <c r="D1" s="30"/>
      <c r="E1" s="30"/>
      <c r="F1" s="144" t="s">
        <v>856</v>
      </c>
      <c r="G1" s="26">
        <v>2</v>
      </c>
      <c r="H1" s="27"/>
      <c r="I1" s="27"/>
      <c r="J1" s="31" t="s">
        <v>191</v>
      </c>
      <c r="K1" s="27"/>
      <c r="L1" s="30"/>
      <c r="M1" s="30"/>
      <c r="N1" s="30"/>
      <c r="O1" s="30"/>
      <c r="P1" s="30"/>
      <c r="Q1" s="30"/>
      <c r="R1" s="30"/>
      <c r="S1" s="30"/>
      <c r="T1" s="30"/>
      <c r="U1" s="30"/>
      <c r="V1" s="30"/>
      <c r="W1" s="30"/>
      <c r="X1" s="30"/>
      <c r="Y1" s="30"/>
      <c r="Z1" s="30"/>
      <c r="AA1" s="30"/>
    </row>
    <row r="2" spans="1:27" ht="15.75" customHeight="1">
      <c r="A2" s="133" t="s">
        <v>861</v>
      </c>
      <c r="B2" s="30"/>
      <c r="C2" s="30"/>
      <c r="D2" s="30"/>
      <c r="E2" s="30"/>
      <c r="F2" s="26" t="s">
        <v>122</v>
      </c>
      <c r="G2" s="26">
        <v>363</v>
      </c>
      <c r="H2" s="26" t="s">
        <v>192</v>
      </c>
      <c r="I2" s="27"/>
      <c r="J2" s="28">
        <f>G11/(G6*1000)*G5</f>
        <v>43.56</v>
      </c>
      <c r="K2" s="26" t="s">
        <v>133</v>
      </c>
      <c r="L2" s="30"/>
      <c r="M2" s="30"/>
      <c r="N2" s="30"/>
      <c r="O2" s="30"/>
      <c r="P2" s="30"/>
      <c r="Q2" s="30"/>
      <c r="R2" s="30"/>
      <c r="S2" s="30"/>
      <c r="T2" s="30"/>
      <c r="U2" s="30"/>
      <c r="V2" s="30"/>
      <c r="W2" s="30"/>
      <c r="X2" s="30"/>
      <c r="Y2" s="30"/>
      <c r="Z2" s="30"/>
      <c r="AA2" s="30"/>
    </row>
    <row r="3" spans="1:27" ht="15.75" customHeight="1">
      <c r="A3" s="133" t="s">
        <v>862</v>
      </c>
      <c r="B3" s="133"/>
      <c r="C3" s="133" t="s">
        <v>863</v>
      </c>
      <c r="D3" s="133" t="s">
        <v>864</v>
      </c>
      <c r="E3" s="30"/>
      <c r="F3" s="26" t="s">
        <v>194</v>
      </c>
      <c r="G3" s="26">
        <v>3</v>
      </c>
      <c r="H3" s="27"/>
      <c r="I3" s="27"/>
      <c r="J3" s="145" t="s">
        <v>195</v>
      </c>
      <c r="K3" s="27"/>
      <c r="L3" s="30"/>
      <c r="M3" s="30"/>
      <c r="N3" s="30"/>
      <c r="O3" s="30"/>
      <c r="P3" s="30"/>
      <c r="Q3" s="30"/>
      <c r="R3" s="30"/>
      <c r="S3" s="30"/>
      <c r="T3" s="30"/>
      <c r="U3" s="30"/>
      <c r="V3" s="30"/>
      <c r="W3" s="30"/>
      <c r="X3" s="30"/>
      <c r="Y3" s="30"/>
      <c r="Z3" s="30"/>
      <c r="AA3" s="30"/>
    </row>
    <row r="4" spans="1:27" ht="15.75" customHeight="1">
      <c r="A4" s="133">
        <v>9</v>
      </c>
      <c r="B4" s="133"/>
      <c r="C4" s="133">
        <v>120</v>
      </c>
      <c r="D4" s="146">
        <f>C4*A4</f>
        <v>1080</v>
      </c>
      <c r="E4" s="30"/>
      <c r="F4" s="26" t="s">
        <v>129</v>
      </c>
      <c r="G4" s="26">
        <v>100</v>
      </c>
      <c r="H4" s="26" t="s">
        <v>130</v>
      </c>
      <c r="I4" s="27"/>
      <c r="J4" s="28">
        <f>120/1200*J2*0.001</f>
        <v>4.3560000000000005E-3</v>
      </c>
      <c r="K4" s="26" t="s">
        <v>70</v>
      </c>
      <c r="L4" s="30"/>
      <c r="M4" s="30"/>
      <c r="N4" s="30"/>
      <c r="O4" s="30"/>
      <c r="P4" s="30"/>
      <c r="Q4" s="30"/>
      <c r="R4" s="30"/>
      <c r="S4" s="30"/>
      <c r="T4" s="30"/>
      <c r="U4" s="30"/>
      <c r="V4" s="30"/>
      <c r="W4" s="30"/>
      <c r="X4" s="30"/>
      <c r="Y4" s="30"/>
      <c r="Z4" s="30"/>
      <c r="AA4" s="30"/>
    </row>
    <row r="5" spans="1:27" ht="15.75" customHeight="1">
      <c r="A5" s="30"/>
      <c r="B5" s="30"/>
      <c r="C5" s="30"/>
      <c r="D5" s="30"/>
      <c r="E5" s="30"/>
      <c r="F5" s="26" t="s">
        <v>132</v>
      </c>
      <c r="G5" s="28">
        <f>G1*G2*G3*G4*0.001</f>
        <v>217.8</v>
      </c>
      <c r="H5" s="26" t="s">
        <v>133</v>
      </c>
      <c r="I5" s="27"/>
      <c r="J5" s="27"/>
      <c r="K5" s="26"/>
      <c r="L5" s="30"/>
      <c r="M5" s="30"/>
      <c r="N5" s="30"/>
      <c r="O5" s="30"/>
      <c r="P5" s="30"/>
      <c r="Q5" s="30"/>
      <c r="R5" s="30"/>
      <c r="S5" s="30"/>
      <c r="T5" s="30"/>
      <c r="U5" s="30"/>
      <c r="V5" s="30"/>
      <c r="W5" s="30"/>
      <c r="X5" s="30"/>
      <c r="Y5" s="30"/>
      <c r="Z5" s="30"/>
      <c r="AA5" s="30"/>
    </row>
    <row r="6" spans="1:27" ht="15.75" customHeight="1">
      <c r="A6" s="30"/>
      <c r="B6" s="30"/>
      <c r="C6" s="30"/>
      <c r="D6" s="30"/>
      <c r="E6" s="30"/>
      <c r="F6" s="26" t="s">
        <v>137</v>
      </c>
      <c r="G6" s="26">
        <v>3</v>
      </c>
      <c r="H6" s="26" t="s">
        <v>63</v>
      </c>
      <c r="I6" s="27"/>
      <c r="J6" s="27"/>
      <c r="K6" s="27"/>
      <c r="L6" s="30"/>
      <c r="M6" s="30"/>
      <c r="N6" s="30"/>
      <c r="O6" s="30"/>
      <c r="P6" s="30"/>
      <c r="Q6" s="30"/>
      <c r="R6" s="30"/>
      <c r="S6" s="30"/>
      <c r="T6" s="30"/>
      <c r="U6" s="30"/>
      <c r="V6" s="30"/>
      <c r="W6" s="30"/>
      <c r="X6" s="30"/>
      <c r="Y6" s="30"/>
      <c r="Z6" s="30"/>
      <c r="AA6" s="30"/>
    </row>
    <row r="7" spans="1:27" ht="15.75" customHeight="1">
      <c r="A7" s="30"/>
      <c r="B7" s="30"/>
      <c r="C7" s="30"/>
      <c r="D7" s="30"/>
      <c r="E7" s="30"/>
      <c r="F7" s="26" t="s">
        <v>139</v>
      </c>
      <c r="G7" s="26">
        <f>G5/G6</f>
        <v>72.600000000000009</v>
      </c>
      <c r="H7" s="26" t="s">
        <v>140</v>
      </c>
      <c r="I7" s="27"/>
      <c r="J7" s="27"/>
      <c r="K7" s="27"/>
      <c r="L7" s="30"/>
      <c r="M7" s="30"/>
      <c r="N7" s="30"/>
      <c r="O7" s="30"/>
      <c r="P7" s="30"/>
      <c r="Q7" s="30"/>
      <c r="R7" s="30"/>
      <c r="S7" s="30"/>
      <c r="T7" s="30"/>
      <c r="U7" s="30"/>
      <c r="V7" s="30"/>
      <c r="W7" s="30"/>
      <c r="X7" s="30"/>
      <c r="Y7" s="30"/>
      <c r="Z7" s="30"/>
      <c r="AA7" s="30"/>
    </row>
    <row r="8" spans="1:27" ht="15.75" customHeight="1">
      <c r="A8" s="30"/>
      <c r="B8" s="30"/>
      <c r="C8" s="30"/>
      <c r="D8" s="30"/>
      <c r="E8" s="30"/>
      <c r="F8" s="26" t="s">
        <v>202</v>
      </c>
      <c r="G8" s="26">
        <v>0.5</v>
      </c>
      <c r="H8" s="26"/>
      <c r="I8" s="27"/>
      <c r="J8" s="26" t="s">
        <v>203</v>
      </c>
      <c r="K8" s="27"/>
      <c r="L8" s="30"/>
      <c r="M8" s="30"/>
      <c r="N8" s="30"/>
      <c r="O8" s="30"/>
      <c r="P8" s="30"/>
      <c r="Q8" s="30"/>
      <c r="R8" s="30"/>
      <c r="S8" s="30"/>
      <c r="T8" s="30"/>
      <c r="U8" s="30"/>
      <c r="V8" s="30"/>
      <c r="W8" s="30"/>
      <c r="X8" s="30"/>
      <c r="Y8" s="30"/>
      <c r="Z8" s="30"/>
      <c r="AA8" s="30"/>
    </row>
    <row r="9" spans="1:27" ht="15.75" customHeight="1">
      <c r="A9" s="30"/>
      <c r="B9" s="30"/>
      <c r="C9" s="30"/>
      <c r="D9" s="30"/>
      <c r="E9" s="30"/>
      <c r="F9" s="26" t="s">
        <v>146</v>
      </c>
      <c r="G9" s="26">
        <f>G7*G8</f>
        <v>36.300000000000004</v>
      </c>
      <c r="H9" s="26" t="s">
        <v>140</v>
      </c>
      <c r="I9" s="27"/>
      <c r="J9" s="28">
        <f>G9*(120/1000)/1000</f>
        <v>4.3560000000000005E-3</v>
      </c>
      <c r="K9" s="26" t="s">
        <v>70</v>
      </c>
      <c r="L9" s="30"/>
      <c r="M9" s="30"/>
      <c r="N9" s="30"/>
      <c r="O9" s="30"/>
      <c r="P9" s="30"/>
      <c r="Q9" s="30"/>
      <c r="R9" s="30"/>
      <c r="S9" s="30"/>
      <c r="T9" s="30"/>
      <c r="U9" s="30"/>
      <c r="V9" s="30"/>
      <c r="W9" s="30"/>
      <c r="X9" s="30"/>
      <c r="Y9" s="30"/>
      <c r="Z9" s="30"/>
      <c r="AA9" s="30"/>
    </row>
    <row r="10" spans="1:27" ht="15.75" customHeight="1">
      <c r="A10" s="30"/>
      <c r="B10" s="30"/>
      <c r="C10" s="30"/>
      <c r="D10" s="30"/>
      <c r="E10" s="30"/>
      <c r="F10" s="26" t="s">
        <v>214</v>
      </c>
      <c r="G10" s="26">
        <v>600</v>
      </c>
      <c r="H10" s="26" t="s">
        <v>215</v>
      </c>
      <c r="I10" s="27"/>
      <c r="J10" s="26" t="s">
        <v>135</v>
      </c>
      <c r="K10" s="27"/>
      <c r="L10" s="30"/>
      <c r="M10" s="30"/>
      <c r="N10" s="30"/>
      <c r="O10" s="30"/>
      <c r="P10" s="30"/>
      <c r="Q10" s="30"/>
      <c r="R10" s="30"/>
      <c r="S10" s="30"/>
      <c r="T10" s="30"/>
      <c r="U10" s="30"/>
      <c r="V10" s="30"/>
      <c r="W10" s="30"/>
      <c r="X10" s="30"/>
      <c r="Y10" s="30"/>
      <c r="Z10" s="30"/>
      <c r="AA10" s="30"/>
    </row>
    <row r="11" spans="1:27" ht="15.75" customHeight="1">
      <c r="A11" s="30"/>
      <c r="B11" s="30"/>
      <c r="C11" s="30"/>
      <c r="D11" s="30"/>
      <c r="E11" s="30"/>
      <c r="F11" s="26" t="s">
        <v>217</v>
      </c>
      <c r="G11" s="26">
        <v>600</v>
      </c>
      <c r="H11" s="26" t="s">
        <v>215</v>
      </c>
      <c r="I11" s="27"/>
      <c r="J11" s="28">
        <f>(120/1000)/J9</f>
        <v>27.54820936639118</v>
      </c>
      <c r="K11" s="27"/>
      <c r="L11" s="30"/>
      <c r="M11" s="30"/>
      <c r="N11" s="30"/>
      <c r="O11" s="30"/>
      <c r="P11" s="30"/>
      <c r="Q11" s="30"/>
      <c r="R11" s="30"/>
      <c r="S11" s="30"/>
      <c r="T11" s="30"/>
      <c r="U11" s="30"/>
      <c r="V11" s="30"/>
      <c r="W11" s="30"/>
      <c r="X11" s="30"/>
      <c r="Y11" s="30"/>
      <c r="Z11" s="30"/>
      <c r="AA11" s="30"/>
    </row>
    <row r="12" spans="1:27" ht="15.75" customHeight="1">
      <c r="A12" s="133"/>
      <c r="B12" s="148"/>
      <c r="C12" s="148"/>
      <c r="D12" s="148"/>
      <c r="E12" s="148"/>
      <c r="F12" s="148"/>
      <c r="G12" s="148"/>
      <c r="H12" s="148"/>
      <c r="I12" s="148"/>
      <c r="J12" s="148"/>
      <c r="K12" s="148"/>
      <c r="L12" s="148"/>
      <c r="M12" s="148"/>
      <c r="N12" s="148"/>
      <c r="O12" s="30"/>
      <c r="P12" s="30"/>
      <c r="Q12" s="30"/>
      <c r="R12" s="30"/>
      <c r="S12" s="30"/>
      <c r="T12" s="30"/>
      <c r="U12" s="30"/>
      <c r="V12" s="30"/>
      <c r="W12" s="30"/>
      <c r="X12" s="30"/>
      <c r="Y12" s="30"/>
      <c r="Z12" s="30"/>
      <c r="AA12" s="30"/>
    </row>
    <row r="13" spans="1:27" ht="15.75" customHeight="1">
      <c r="A13" s="133"/>
      <c r="B13" s="148"/>
      <c r="C13" s="148"/>
      <c r="D13" s="148"/>
      <c r="E13" s="148"/>
      <c r="F13" s="148"/>
      <c r="G13" s="148"/>
      <c r="H13" s="148"/>
      <c r="I13" s="148"/>
      <c r="J13" s="148"/>
      <c r="K13" s="148"/>
      <c r="L13" s="148"/>
      <c r="M13" s="148"/>
      <c r="N13" s="148"/>
      <c r="O13" s="30"/>
      <c r="P13" s="30"/>
      <c r="Q13" s="30"/>
      <c r="R13" s="30"/>
      <c r="S13" s="30"/>
      <c r="T13" s="30"/>
      <c r="U13" s="30"/>
      <c r="V13" s="30"/>
      <c r="W13" s="30"/>
      <c r="X13" s="30"/>
      <c r="Y13" s="30"/>
      <c r="Z13" s="30"/>
      <c r="AA13" s="30"/>
    </row>
    <row r="14" spans="1:27" ht="15.75" customHeight="1">
      <c r="A14" s="156"/>
      <c r="B14" s="157" t="s">
        <v>908</v>
      </c>
      <c r="C14" s="201" t="s">
        <v>909</v>
      </c>
      <c r="D14" s="186"/>
      <c r="E14" s="186"/>
      <c r="F14" s="201" t="s">
        <v>910</v>
      </c>
      <c r="G14" s="186"/>
      <c r="H14" s="186"/>
      <c r="I14" s="201" t="s">
        <v>937</v>
      </c>
      <c r="J14" s="186"/>
      <c r="K14" s="186"/>
      <c r="L14" s="201" t="s">
        <v>912</v>
      </c>
      <c r="M14" s="186"/>
      <c r="N14" s="186"/>
      <c r="O14" s="158"/>
      <c r="P14" s="158"/>
      <c r="Q14" s="158"/>
      <c r="R14" s="158"/>
      <c r="S14" s="158"/>
      <c r="T14" s="158"/>
      <c r="U14" s="158"/>
      <c r="V14" s="158"/>
      <c r="W14" s="158"/>
      <c r="X14" s="158"/>
      <c r="Y14" s="158"/>
      <c r="Z14" s="158"/>
      <c r="AA14" s="158"/>
    </row>
    <row r="15" spans="1:27" ht="15.75" customHeight="1">
      <c r="A15" s="133"/>
      <c r="B15" s="133"/>
      <c r="C15" s="133" t="s">
        <v>913</v>
      </c>
      <c r="D15" s="133" t="s">
        <v>914</v>
      </c>
      <c r="E15" s="133" t="s">
        <v>915</v>
      </c>
      <c r="F15" s="133" t="s">
        <v>913</v>
      </c>
      <c r="G15" s="133" t="s">
        <v>914</v>
      </c>
      <c r="H15" s="133" t="s">
        <v>915</v>
      </c>
      <c r="I15" s="133" t="s">
        <v>913</v>
      </c>
      <c r="J15" s="133" t="s">
        <v>914</v>
      </c>
      <c r="K15" s="133" t="s">
        <v>915</v>
      </c>
      <c r="L15" s="133" t="s">
        <v>913</v>
      </c>
      <c r="M15" s="133" t="s">
        <v>914</v>
      </c>
      <c r="N15" s="133" t="s">
        <v>915</v>
      </c>
      <c r="O15" s="30"/>
      <c r="P15" s="30"/>
      <c r="Q15" s="30"/>
      <c r="R15" s="30"/>
      <c r="S15" s="30"/>
      <c r="T15" s="30"/>
      <c r="U15" s="30"/>
      <c r="V15" s="30"/>
      <c r="W15" s="30"/>
      <c r="X15" s="30"/>
      <c r="Y15" s="30"/>
      <c r="Z15" s="30"/>
      <c r="AA15" s="30"/>
    </row>
    <row r="16" spans="1:27" ht="15.75" customHeight="1">
      <c r="A16" s="148" t="s">
        <v>205</v>
      </c>
      <c r="B16" s="133"/>
      <c r="C16" s="133">
        <v>1</v>
      </c>
      <c r="D16" s="133">
        <v>2</v>
      </c>
      <c r="E16" s="133">
        <v>3</v>
      </c>
      <c r="F16" s="133">
        <v>4</v>
      </c>
      <c r="G16" s="133">
        <v>5</v>
      </c>
      <c r="H16" s="133">
        <v>6</v>
      </c>
      <c r="I16" s="133">
        <v>7</v>
      </c>
      <c r="J16" s="133">
        <v>8</v>
      </c>
      <c r="K16" s="133">
        <v>9</v>
      </c>
      <c r="L16" s="133">
        <v>7</v>
      </c>
      <c r="M16" s="133">
        <v>8</v>
      </c>
      <c r="N16" s="133">
        <v>9</v>
      </c>
      <c r="O16" s="30"/>
      <c r="P16" s="30"/>
      <c r="Q16" s="30"/>
      <c r="R16" s="30"/>
      <c r="S16" s="30"/>
      <c r="T16" s="30"/>
      <c r="U16" s="30"/>
      <c r="V16" s="30"/>
      <c r="W16" s="30"/>
      <c r="X16" s="30"/>
      <c r="Y16" s="30"/>
      <c r="Z16" s="30"/>
      <c r="AA16" s="30"/>
    </row>
    <row r="17" spans="1:27" ht="15.75" customHeight="1">
      <c r="A17" s="133" t="s">
        <v>206</v>
      </c>
      <c r="B17" s="133">
        <f>AVERAGE(C17:E17)</f>
        <v>0.2154666666666667</v>
      </c>
      <c r="C17" s="133">
        <v>0.22509999999999999</v>
      </c>
      <c r="D17" s="133">
        <v>0.20810000000000001</v>
      </c>
      <c r="E17" s="133">
        <v>0.2132</v>
      </c>
      <c r="F17" s="133">
        <v>0.2155</v>
      </c>
      <c r="G17" s="133">
        <v>0.21579999999999999</v>
      </c>
      <c r="H17" s="133">
        <v>0.21590000000000001</v>
      </c>
      <c r="I17" s="133">
        <v>0.22</v>
      </c>
      <c r="J17" s="133">
        <v>0.22059999999999999</v>
      </c>
      <c r="K17" s="133">
        <v>0.2218</v>
      </c>
      <c r="L17" s="133">
        <v>0.22</v>
      </c>
      <c r="M17" s="133">
        <v>0.22059999999999999</v>
      </c>
      <c r="N17" s="133">
        <v>0.2218</v>
      </c>
      <c r="O17" s="30"/>
      <c r="P17" s="30"/>
      <c r="Q17" s="30"/>
      <c r="R17" s="30"/>
      <c r="S17" s="30"/>
      <c r="T17" s="30"/>
      <c r="U17" s="30"/>
      <c r="V17" s="30"/>
      <c r="W17" s="30"/>
      <c r="X17" s="30"/>
      <c r="Y17" s="30"/>
      <c r="Z17" s="30"/>
      <c r="AA17" s="30"/>
    </row>
    <row r="18" spans="1:27" ht="15.75" customHeight="1">
      <c r="A18" s="133" t="s">
        <v>928</v>
      </c>
      <c r="B18" s="133"/>
      <c r="C18" s="133">
        <v>0.34370000000000001</v>
      </c>
      <c r="D18" s="133">
        <v>0.67449999999999999</v>
      </c>
      <c r="E18" s="133">
        <v>1.0091000000000001</v>
      </c>
      <c r="F18" s="133">
        <v>0.33450000000000002</v>
      </c>
      <c r="G18" s="133">
        <v>0.67889999999999995</v>
      </c>
      <c r="H18" s="133">
        <v>0.99760000000000004</v>
      </c>
      <c r="I18" s="133">
        <v>0.33040000000000003</v>
      </c>
      <c r="J18" s="133">
        <v>0.67369999999999997</v>
      </c>
      <c r="K18" s="133">
        <v>1.0085999999999999</v>
      </c>
      <c r="L18" s="133">
        <v>0.33040000000000003</v>
      </c>
      <c r="M18" s="133">
        <v>0.67369999999999997</v>
      </c>
      <c r="N18" s="133">
        <v>1.0085999999999999</v>
      </c>
      <c r="O18" s="30"/>
      <c r="P18" s="30"/>
      <c r="Q18" s="30"/>
      <c r="R18" s="30"/>
      <c r="S18" s="30"/>
      <c r="T18" s="30"/>
      <c r="U18" s="30"/>
      <c r="V18" s="30"/>
      <c r="W18" s="30"/>
      <c r="X18" s="30"/>
      <c r="Y18" s="30"/>
      <c r="Z18" s="30"/>
      <c r="AA18" s="30"/>
    </row>
    <row r="19" spans="1:27" ht="15.75" customHeight="1">
      <c r="A19" s="133" t="s">
        <v>929</v>
      </c>
      <c r="B19" s="133"/>
      <c r="C19" s="133">
        <v>0.24590000000000001</v>
      </c>
      <c r="D19" s="133">
        <v>0.47899999999999998</v>
      </c>
      <c r="E19" s="133">
        <v>0.72199999999999998</v>
      </c>
      <c r="F19" s="133">
        <v>0.23280000000000001</v>
      </c>
      <c r="G19" s="133">
        <v>0.45910000000000001</v>
      </c>
      <c r="H19" s="133">
        <v>0.6855</v>
      </c>
      <c r="I19" s="133">
        <v>0.21210000000000001</v>
      </c>
      <c r="J19" s="133">
        <v>0.43769999999999998</v>
      </c>
      <c r="K19" s="133">
        <v>0.65590000000000004</v>
      </c>
      <c r="L19" s="133">
        <v>0.2087</v>
      </c>
      <c r="M19" s="133">
        <v>0.43319999999999997</v>
      </c>
      <c r="N19" s="133">
        <v>0.6502</v>
      </c>
      <c r="O19" s="30"/>
      <c r="P19" s="30"/>
      <c r="Q19" s="30"/>
      <c r="R19" s="30"/>
      <c r="S19" s="30"/>
      <c r="T19" s="30"/>
      <c r="U19" s="30"/>
      <c r="V19" s="30"/>
      <c r="W19" s="30"/>
      <c r="X19" s="30"/>
      <c r="Y19" s="30"/>
      <c r="Z19" s="30"/>
      <c r="AA19" s="30"/>
    </row>
    <row r="20" spans="1:27" ht="15.75" customHeight="1">
      <c r="A20" s="133"/>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row>
    <row r="21" spans="1:27" ht="15.75" customHeight="1">
      <c r="A21" s="148" t="s">
        <v>930</v>
      </c>
      <c r="B21" s="133"/>
      <c r="C21" s="133" t="s">
        <v>931</v>
      </c>
      <c r="D21" s="133" t="s">
        <v>932</v>
      </c>
      <c r="E21" s="133" t="s">
        <v>933</v>
      </c>
      <c r="F21" s="133" t="s">
        <v>938</v>
      </c>
      <c r="G21" s="133" t="s">
        <v>939</v>
      </c>
      <c r="H21" s="133" t="s">
        <v>940</v>
      </c>
      <c r="I21" s="133" t="s">
        <v>941</v>
      </c>
      <c r="J21" s="133" t="s">
        <v>942</v>
      </c>
      <c r="K21" s="133" t="s">
        <v>943</v>
      </c>
      <c r="L21" s="133" t="s">
        <v>941</v>
      </c>
      <c r="M21" s="133" t="s">
        <v>942</v>
      </c>
      <c r="N21" s="133" t="s">
        <v>943</v>
      </c>
      <c r="O21" s="30"/>
      <c r="P21" s="30"/>
      <c r="Q21" s="30"/>
      <c r="R21" s="30"/>
      <c r="S21" s="30"/>
      <c r="T21" s="30"/>
      <c r="U21" s="30"/>
      <c r="V21" s="30"/>
      <c r="W21" s="30"/>
      <c r="X21" s="30"/>
      <c r="Y21" s="30"/>
      <c r="Z21" s="30"/>
      <c r="AA21" s="30"/>
    </row>
    <row r="22" spans="1:27" ht="15.75" customHeight="1">
      <c r="A22" s="133" t="s">
        <v>206</v>
      </c>
      <c r="B22" s="133"/>
      <c r="C22" s="133">
        <v>0.21820000000000001</v>
      </c>
      <c r="D22" s="133">
        <v>0.21540000000000001</v>
      </c>
      <c r="E22" s="133">
        <v>0.2205</v>
      </c>
      <c r="F22" s="133">
        <v>0.21679999999999999</v>
      </c>
      <c r="G22" s="133">
        <v>0.21590000000000001</v>
      </c>
      <c r="H22" s="133">
        <v>0.21410000000000001</v>
      </c>
      <c r="I22" s="133">
        <v>0.2109</v>
      </c>
      <c r="J22" s="133">
        <v>0.2243</v>
      </c>
      <c r="K22" s="133">
        <v>0.21740000000000001</v>
      </c>
      <c r="L22" s="133">
        <v>0.2109</v>
      </c>
      <c r="M22" s="133">
        <v>0.2243</v>
      </c>
      <c r="N22" s="133">
        <v>0.21740000000000001</v>
      </c>
      <c r="O22" s="30"/>
      <c r="P22" s="30"/>
      <c r="Q22" s="30"/>
      <c r="R22" s="30"/>
      <c r="S22" s="30"/>
      <c r="T22" s="30"/>
      <c r="U22" s="30"/>
      <c r="V22" s="30"/>
      <c r="W22" s="30"/>
      <c r="X22" s="30"/>
      <c r="Y22" s="30"/>
      <c r="Z22" s="30"/>
      <c r="AA22" s="30"/>
    </row>
    <row r="23" spans="1:27" ht="15.75" customHeight="1">
      <c r="A23" s="133" t="s">
        <v>928</v>
      </c>
      <c r="B23" s="133"/>
      <c r="C23" s="133">
        <v>0.33160000000000001</v>
      </c>
      <c r="D23" s="133">
        <v>0.66049999999999998</v>
      </c>
      <c r="E23" s="133">
        <v>0.99570000000000003</v>
      </c>
      <c r="F23" s="133">
        <v>0.3347</v>
      </c>
      <c r="G23" s="133">
        <v>0.66579999999999995</v>
      </c>
      <c r="H23" s="133">
        <v>1.0013000000000001</v>
      </c>
      <c r="I23" s="133">
        <v>0.34139999999999998</v>
      </c>
      <c r="J23" s="133">
        <v>0.67930000000000001</v>
      </c>
      <c r="K23" s="133">
        <v>1.0201</v>
      </c>
      <c r="L23" s="133">
        <v>0.34139999999999998</v>
      </c>
      <c r="M23" s="133">
        <v>0.67930000000000001</v>
      </c>
      <c r="N23" s="133">
        <v>1.0201</v>
      </c>
      <c r="O23" s="30"/>
      <c r="P23" s="30"/>
      <c r="Q23" s="30"/>
      <c r="R23" s="30"/>
      <c r="S23" s="30"/>
      <c r="T23" s="30"/>
      <c r="U23" s="30"/>
      <c r="V23" s="30"/>
      <c r="W23" s="30"/>
      <c r="X23" s="30"/>
      <c r="Y23" s="30"/>
      <c r="Z23" s="30"/>
      <c r="AA23" s="30"/>
    </row>
    <row r="24" spans="1:27" ht="15.75" customHeight="1">
      <c r="A24" s="133" t="s">
        <v>929</v>
      </c>
      <c r="B24" s="133"/>
      <c r="C24" s="133">
        <v>0.2248</v>
      </c>
      <c r="D24" s="133">
        <v>0.45140000000000002</v>
      </c>
      <c r="E24" s="133">
        <v>0.67930000000000001</v>
      </c>
      <c r="F24" s="133">
        <v>0.22140000000000001</v>
      </c>
      <c r="G24" s="133">
        <v>0.44</v>
      </c>
      <c r="H24" s="133">
        <v>0.66220000000000001</v>
      </c>
      <c r="I24" s="133">
        <v>0.21249999999999999</v>
      </c>
      <c r="J24" s="133">
        <v>0.42630000000000001</v>
      </c>
      <c r="K24" s="133">
        <v>0.64380000000000004</v>
      </c>
      <c r="L24" s="133">
        <v>0.2132</v>
      </c>
      <c r="M24" s="133">
        <v>0.42480000000000001</v>
      </c>
      <c r="N24" s="133">
        <v>0.64319999999999999</v>
      </c>
      <c r="O24" s="30"/>
      <c r="P24" s="30"/>
      <c r="Q24" s="30"/>
      <c r="R24" s="30"/>
      <c r="S24" s="30"/>
      <c r="T24" s="30"/>
      <c r="U24" s="30"/>
      <c r="V24" s="30"/>
      <c r="W24" s="30"/>
      <c r="X24" s="30"/>
      <c r="Y24" s="30"/>
      <c r="Z24" s="30"/>
      <c r="AA24" s="30"/>
    </row>
    <row r="25" spans="1:27" ht="15.75" customHeight="1">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row>
    <row r="26" spans="1:27" ht="15.75" customHeight="1">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row>
    <row r="27" spans="1:27" ht="15.75" customHeight="1">
      <c r="A27" s="148" t="s">
        <v>205</v>
      </c>
      <c r="B27" s="133"/>
      <c r="C27" s="133">
        <v>1</v>
      </c>
      <c r="D27" s="133">
        <v>2</v>
      </c>
      <c r="E27" s="133">
        <v>3</v>
      </c>
      <c r="F27" s="133">
        <v>4</v>
      </c>
      <c r="G27" s="133">
        <v>5</v>
      </c>
      <c r="H27" s="133">
        <v>6</v>
      </c>
      <c r="I27" s="133">
        <v>7</v>
      </c>
      <c r="J27" s="133">
        <v>8</v>
      </c>
      <c r="K27" s="133">
        <v>9</v>
      </c>
      <c r="L27" s="133">
        <v>7</v>
      </c>
      <c r="M27" s="133">
        <v>8</v>
      </c>
      <c r="N27" s="133">
        <v>9</v>
      </c>
      <c r="O27" s="30"/>
      <c r="P27" s="30"/>
      <c r="Q27" s="30"/>
      <c r="R27" s="30"/>
      <c r="S27" s="30"/>
      <c r="T27" s="30"/>
      <c r="U27" s="30"/>
      <c r="V27" s="30"/>
      <c r="W27" s="30"/>
      <c r="X27" s="30"/>
      <c r="Y27" s="30"/>
      <c r="Z27" s="30"/>
      <c r="AA27" s="30"/>
    </row>
    <row r="28" spans="1:27" ht="15.75" customHeight="1">
      <c r="A28" s="133" t="s">
        <v>206</v>
      </c>
      <c r="B28" s="133"/>
      <c r="C28" s="133">
        <v>0.22509999999999999</v>
      </c>
      <c r="D28" s="133">
        <v>0.20810000000000001</v>
      </c>
      <c r="E28" s="133">
        <v>0.2132</v>
      </c>
      <c r="F28" s="133">
        <v>0.2155</v>
      </c>
      <c r="G28" s="133">
        <v>0.21579999999999999</v>
      </c>
      <c r="H28" s="133">
        <v>0.21590000000000001</v>
      </c>
      <c r="I28" s="133">
        <v>0.22</v>
      </c>
      <c r="J28" s="133">
        <v>0.22059999999999999</v>
      </c>
      <c r="K28" s="133">
        <v>0.2218</v>
      </c>
      <c r="L28" s="133">
        <v>0.22</v>
      </c>
      <c r="M28" s="133">
        <v>0.22059999999999999</v>
      </c>
      <c r="N28" s="133">
        <v>0.2218</v>
      </c>
      <c r="O28" s="146">
        <f>AVERAGE(L28:N28)</f>
        <v>0.2208</v>
      </c>
      <c r="P28" s="30"/>
      <c r="Q28" s="30"/>
      <c r="R28" s="30"/>
      <c r="S28" s="30"/>
      <c r="T28" s="30"/>
      <c r="U28" s="30"/>
      <c r="V28" s="30"/>
      <c r="W28" s="30"/>
      <c r="X28" s="30"/>
      <c r="Y28" s="30"/>
      <c r="Z28" s="30"/>
      <c r="AA28" s="30"/>
    </row>
    <row r="29" spans="1:27" ht="15.75" customHeight="1">
      <c r="A29" s="133" t="s">
        <v>934</v>
      </c>
      <c r="B29" s="30"/>
      <c r="C29" s="146">
        <f t="shared" ref="C29:C30" si="0">C18</f>
        <v>0.34370000000000001</v>
      </c>
      <c r="D29" s="146">
        <f t="shared" ref="D29:E29" si="1">D18-C18</f>
        <v>0.33079999999999998</v>
      </c>
      <c r="E29" s="146">
        <f t="shared" si="1"/>
        <v>0.33460000000000012</v>
      </c>
      <c r="F29" s="146">
        <f t="shared" ref="F29:F30" si="2">F18</f>
        <v>0.33450000000000002</v>
      </c>
      <c r="G29" s="146">
        <f t="shared" ref="G29:H29" si="3">G18-F18</f>
        <v>0.34439999999999993</v>
      </c>
      <c r="H29" s="146">
        <f t="shared" si="3"/>
        <v>0.31870000000000009</v>
      </c>
      <c r="I29" s="146">
        <f t="shared" ref="I29:I30" si="4">I18</f>
        <v>0.33040000000000003</v>
      </c>
      <c r="J29" s="146">
        <f t="shared" ref="J29:K29" si="5">J18-I18</f>
        <v>0.34329999999999994</v>
      </c>
      <c r="K29" s="146">
        <f t="shared" si="5"/>
        <v>0.33489999999999998</v>
      </c>
      <c r="L29" s="146">
        <f t="shared" ref="L29:L30" si="6">L18</f>
        <v>0.33040000000000003</v>
      </c>
      <c r="M29" s="146">
        <f t="shared" ref="M29:N29" si="7">M18-L18</f>
        <v>0.34329999999999994</v>
      </c>
      <c r="N29" s="146">
        <f t="shared" si="7"/>
        <v>0.33489999999999998</v>
      </c>
      <c r="O29" s="30"/>
      <c r="P29" s="30"/>
      <c r="Q29" s="30"/>
      <c r="R29" s="30"/>
      <c r="S29" s="30"/>
      <c r="T29" s="30"/>
      <c r="U29" s="30"/>
      <c r="V29" s="30"/>
      <c r="W29" s="30"/>
      <c r="X29" s="30"/>
      <c r="Y29" s="30"/>
      <c r="Z29" s="30"/>
      <c r="AA29" s="30"/>
    </row>
    <row r="30" spans="1:27" ht="15.75" customHeight="1">
      <c r="A30" s="133" t="s">
        <v>209</v>
      </c>
      <c r="B30" s="30"/>
      <c r="C30" s="146">
        <f t="shared" si="0"/>
        <v>0.24590000000000001</v>
      </c>
      <c r="D30" s="146">
        <f t="shared" ref="D30:E30" si="8">D19-C19</f>
        <v>0.23309999999999997</v>
      </c>
      <c r="E30" s="146">
        <f t="shared" si="8"/>
        <v>0.24299999999999999</v>
      </c>
      <c r="F30" s="146">
        <f t="shared" si="2"/>
        <v>0.23280000000000001</v>
      </c>
      <c r="G30" s="146">
        <f t="shared" ref="G30:H30" si="9">G19-F19</f>
        <v>0.2263</v>
      </c>
      <c r="H30" s="146">
        <f t="shared" si="9"/>
        <v>0.22639999999999999</v>
      </c>
      <c r="I30" s="146">
        <f t="shared" si="4"/>
        <v>0.21210000000000001</v>
      </c>
      <c r="J30" s="146">
        <f t="shared" ref="J30:K30" si="10">J19-I19</f>
        <v>0.22559999999999997</v>
      </c>
      <c r="K30" s="146">
        <f t="shared" si="10"/>
        <v>0.21820000000000006</v>
      </c>
      <c r="L30" s="146">
        <f t="shared" si="6"/>
        <v>0.2087</v>
      </c>
      <c r="M30" s="146">
        <f t="shared" ref="M30:N30" si="11">M19-L19</f>
        <v>0.22449999999999998</v>
      </c>
      <c r="N30" s="146">
        <f t="shared" si="11"/>
        <v>0.21700000000000003</v>
      </c>
      <c r="O30" s="30"/>
      <c r="P30" s="30"/>
      <c r="Q30" s="30"/>
      <c r="R30" s="30"/>
      <c r="S30" s="30"/>
      <c r="T30" s="30"/>
      <c r="U30" s="30"/>
      <c r="V30" s="30"/>
      <c r="W30" s="30"/>
      <c r="X30" s="30"/>
      <c r="Y30" s="30"/>
      <c r="Z30" s="30"/>
      <c r="AA30" s="30"/>
    </row>
    <row r="31" spans="1:27" ht="15.75" customHeight="1">
      <c r="A31" s="155" t="s">
        <v>157</v>
      </c>
      <c r="B31" s="143"/>
      <c r="C31" s="196">
        <f>AVERAGE(C30:E30)</f>
        <v>0.24066666666666667</v>
      </c>
      <c r="D31" s="186"/>
      <c r="E31" s="186"/>
      <c r="F31" s="196">
        <f>AVERAGE(F30:H30)</f>
        <v>0.22850000000000001</v>
      </c>
      <c r="G31" s="186"/>
      <c r="H31" s="186"/>
      <c r="I31" s="196">
        <f>AVERAGE(I30:K30)</f>
        <v>0.21863333333333335</v>
      </c>
      <c r="J31" s="186"/>
      <c r="K31" s="186"/>
      <c r="L31" s="196">
        <f>AVERAGE(L30:N30)</f>
        <v>0.21673333333333333</v>
      </c>
      <c r="M31" s="186"/>
      <c r="N31" s="186"/>
      <c r="O31" s="143"/>
      <c r="P31" s="143"/>
      <c r="Q31" s="143"/>
      <c r="R31" s="143"/>
      <c r="S31" s="143"/>
      <c r="T31" s="143"/>
      <c r="U31" s="143"/>
      <c r="V31" s="143"/>
      <c r="W31" s="143"/>
      <c r="X31" s="143"/>
      <c r="Y31" s="143"/>
      <c r="Z31" s="143"/>
      <c r="AA31" s="143"/>
    </row>
    <row r="32" spans="1:27" ht="15.75" customHeight="1">
      <c r="A32" s="133" t="s">
        <v>944</v>
      </c>
      <c r="B32" s="30"/>
      <c r="C32" s="146">
        <f t="shared" ref="C32:N32" si="12">C29-C30</f>
        <v>9.7799999999999998E-2</v>
      </c>
      <c r="D32" s="146">
        <f t="shared" si="12"/>
        <v>9.7700000000000009E-2</v>
      </c>
      <c r="E32" s="146">
        <f t="shared" si="12"/>
        <v>9.1600000000000126E-2</v>
      </c>
      <c r="F32" s="146">
        <f t="shared" si="12"/>
        <v>0.10170000000000001</v>
      </c>
      <c r="G32" s="146">
        <f t="shared" si="12"/>
        <v>0.11809999999999993</v>
      </c>
      <c r="H32" s="146">
        <f t="shared" si="12"/>
        <v>9.2300000000000104E-2</v>
      </c>
      <c r="I32" s="146">
        <f t="shared" si="12"/>
        <v>0.11830000000000002</v>
      </c>
      <c r="J32" s="146">
        <f t="shared" si="12"/>
        <v>0.11769999999999997</v>
      </c>
      <c r="K32" s="146">
        <f t="shared" si="12"/>
        <v>0.11669999999999991</v>
      </c>
      <c r="L32" s="146">
        <f t="shared" si="12"/>
        <v>0.12170000000000003</v>
      </c>
      <c r="M32" s="146">
        <f t="shared" si="12"/>
        <v>0.11879999999999996</v>
      </c>
      <c r="N32" s="146">
        <f t="shared" si="12"/>
        <v>0.11789999999999995</v>
      </c>
      <c r="O32" s="30"/>
      <c r="P32" s="30"/>
      <c r="Q32" s="30"/>
      <c r="R32" s="30"/>
      <c r="S32" s="30"/>
      <c r="T32" s="30"/>
      <c r="U32" s="30"/>
      <c r="V32" s="30"/>
      <c r="W32" s="30"/>
      <c r="X32" s="30"/>
      <c r="Y32" s="30"/>
      <c r="Z32" s="30"/>
      <c r="AA32" s="30"/>
    </row>
    <row r="33" spans="1:27" ht="15.75" customHeight="1">
      <c r="A33" s="133" t="s">
        <v>945</v>
      </c>
      <c r="B33" s="30"/>
      <c r="C33" s="146">
        <f>AVERAGE(C32:E32)</f>
        <v>9.5700000000000049E-2</v>
      </c>
      <c r="D33" s="30"/>
      <c r="E33" s="30"/>
      <c r="F33" s="146">
        <f>AVERAGE(F32:H32)</f>
        <v>0.10403333333333335</v>
      </c>
      <c r="G33" s="30"/>
      <c r="H33" s="30"/>
      <c r="I33" s="146">
        <f>AVERAGE(I32:K32)</f>
        <v>0.11756666666666664</v>
      </c>
      <c r="J33" s="30"/>
      <c r="K33" s="30"/>
      <c r="L33" s="146">
        <f>AVERAGE(L32:N32)</f>
        <v>0.11946666666666665</v>
      </c>
      <c r="M33" s="30"/>
      <c r="N33" s="30"/>
      <c r="O33" s="30"/>
      <c r="P33" s="30"/>
      <c r="Q33" s="30"/>
      <c r="R33" s="30"/>
      <c r="S33" s="30"/>
      <c r="T33" s="30"/>
      <c r="U33" s="30"/>
      <c r="V33" s="30"/>
      <c r="W33" s="30"/>
      <c r="X33" s="30"/>
      <c r="Y33" s="30"/>
      <c r="Z33" s="30"/>
      <c r="AA33" s="30"/>
    </row>
    <row r="34" spans="1:27" ht="15.75" customHeight="1">
      <c r="A34" s="133" t="s">
        <v>946</v>
      </c>
      <c r="B34" s="30"/>
      <c r="C34" s="146">
        <f>(F33-C33)/15</f>
        <v>5.555555555555536E-4</v>
      </c>
      <c r="D34" s="30"/>
      <c r="E34" s="30"/>
      <c r="F34" s="30"/>
      <c r="G34" s="30"/>
      <c r="H34" s="30"/>
      <c r="I34" s="30"/>
      <c r="J34" s="30"/>
      <c r="K34" s="30"/>
      <c r="L34" s="30"/>
      <c r="M34" s="30"/>
      <c r="N34" s="30"/>
      <c r="O34" s="30"/>
      <c r="P34" s="30"/>
      <c r="Q34" s="30"/>
      <c r="R34" s="30"/>
      <c r="S34" s="30"/>
      <c r="T34" s="30"/>
      <c r="U34" s="30"/>
      <c r="V34" s="30"/>
      <c r="W34" s="30"/>
      <c r="X34" s="30"/>
      <c r="Y34" s="30"/>
      <c r="Z34" s="30"/>
      <c r="AA34" s="30"/>
    </row>
    <row r="35" spans="1:27" ht="15.75" customHeight="1">
      <c r="A35" s="152" t="s">
        <v>935</v>
      </c>
      <c r="B35" s="153">
        <f>B17/O28*L33</f>
        <v>0.11658099838969405</v>
      </c>
      <c r="C35" s="199">
        <f>C31-L31</f>
        <v>2.3933333333333334E-2</v>
      </c>
      <c r="D35" s="186"/>
      <c r="E35" s="186"/>
      <c r="F35" s="199">
        <f>F31-L31</f>
        <v>1.1766666666666675E-2</v>
      </c>
      <c r="G35" s="186"/>
      <c r="H35" s="186"/>
      <c r="I35" s="199">
        <f>I31-L31</f>
        <v>1.9000000000000128E-3</v>
      </c>
      <c r="J35" s="186"/>
      <c r="K35" s="186"/>
      <c r="L35" s="199">
        <f>L31-L31</f>
        <v>0</v>
      </c>
      <c r="M35" s="186"/>
      <c r="N35" s="186"/>
      <c r="O35" s="159"/>
      <c r="P35" s="159"/>
      <c r="Q35" s="159"/>
      <c r="R35" s="159"/>
      <c r="S35" s="159"/>
      <c r="T35" s="159"/>
      <c r="U35" s="159"/>
      <c r="V35" s="159"/>
      <c r="W35" s="159"/>
      <c r="X35" s="159"/>
      <c r="Y35" s="159"/>
      <c r="Z35" s="159"/>
      <c r="AA35" s="159"/>
    </row>
    <row r="36" spans="1:27" ht="15.75" customHeight="1">
      <c r="A36" s="154" t="s">
        <v>936</v>
      </c>
      <c r="B36" s="155">
        <f>1.2/43.56*10^3</f>
        <v>27.54820936639118</v>
      </c>
      <c r="C36" s="196">
        <f>C35/J4</f>
        <v>5.4943373125191304</v>
      </c>
      <c r="D36" s="186"/>
      <c r="E36" s="186"/>
      <c r="F36" s="196">
        <f>F35/J4</f>
        <v>2.7012549739822482</v>
      </c>
      <c r="G36" s="186"/>
      <c r="H36" s="186"/>
      <c r="I36" s="196">
        <f>I35/J4</f>
        <v>0.43617998163452998</v>
      </c>
      <c r="J36" s="186"/>
      <c r="K36" s="186"/>
      <c r="L36" s="196">
        <f>L35/J4</f>
        <v>0</v>
      </c>
      <c r="M36" s="186"/>
      <c r="N36" s="186"/>
      <c r="O36" s="143"/>
      <c r="P36" s="143"/>
      <c r="Q36" s="143"/>
      <c r="R36" s="143"/>
      <c r="S36" s="143"/>
      <c r="T36" s="143"/>
      <c r="U36" s="143"/>
      <c r="V36" s="143"/>
      <c r="W36" s="143"/>
      <c r="X36" s="143"/>
      <c r="Y36" s="143"/>
      <c r="Z36" s="143"/>
      <c r="AA36" s="143"/>
    </row>
    <row r="37" spans="1:27" ht="15.75" customHeight="1">
      <c r="A37" s="148" t="s">
        <v>930</v>
      </c>
      <c r="B37" s="133"/>
      <c r="C37" s="133" t="s">
        <v>931</v>
      </c>
      <c r="D37" s="133" t="s">
        <v>932</v>
      </c>
      <c r="E37" s="133" t="s">
        <v>933</v>
      </c>
      <c r="F37" s="133" t="s">
        <v>938</v>
      </c>
      <c r="G37" s="133" t="s">
        <v>939</v>
      </c>
      <c r="H37" s="133" t="s">
        <v>940</v>
      </c>
      <c r="I37" s="133" t="s">
        <v>941</v>
      </c>
      <c r="J37" s="133" t="s">
        <v>942</v>
      </c>
      <c r="K37" s="133" t="s">
        <v>943</v>
      </c>
      <c r="L37" s="133" t="s">
        <v>941</v>
      </c>
      <c r="M37" s="133" t="s">
        <v>942</v>
      </c>
      <c r="N37" s="133" t="s">
        <v>943</v>
      </c>
      <c r="O37" s="30"/>
      <c r="P37" s="30"/>
      <c r="Q37" s="30"/>
      <c r="R37" s="30"/>
      <c r="S37" s="30"/>
      <c r="T37" s="30"/>
      <c r="U37" s="30"/>
      <c r="V37" s="30"/>
      <c r="W37" s="30"/>
      <c r="X37" s="30"/>
      <c r="Y37" s="30"/>
      <c r="Z37" s="30"/>
      <c r="AA37" s="30"/>
    </row>
    <row r="38" spans="1:27" ht="15.75" customHeight="1">
      <c r="A38" s="133" t="s">
        <v>206</v>
      </c>
      <c r="B38" s="133"/>
      <c r="C38" s="133">
        <v>0.21820000000000001</v>
      </c>
      <c r="D38" s="133">
        <v>0.21540000000000001</v>
      </c>
      <c r="E38" s="133">
        <v>0.2205</v>
      </c>
      <c r="F38" s="133">
        <v>0.21679999999999999</v>
      </c>
      <c r="G38" s="133">
        <v>0.21590000000000001</v>
      </c>
      <c r="H38" s="133">
        <v>0.21410000000000001</v>
      </c>
      <c r="I38" s="133">
        <v>0.2109</v>
      </c>
      <c r="J38" s="133">
        <v>0.2243</v>
      </c>
      <c r="K38" s="133">
        <v>0.21740000000000001</v>
      </c>
      <c r="L38" s="133">
        <v>0.2109</v>
      </c>
      <c r="M38" s="133">
        <v>0.2243</v>
      </c>
      <c r="N38" s="133">
        <v>0.21740000000000001</v>
      </c>
      <c r="O38" s="30"/>
      <c r="P38" s="30"/>
      <c r="Q38" s="30"/>
      <c r="R38" s="30"/>
      <c r="S38" s="30"/>
      <c r="T38" s="30"/>
      <c r="U38" s="30"/>
      <c r="V38" s="30"/>
      <c r="W38" s="30"/>
      <c r="X38" s="30"/>
      <c r="Y38" s="30"/>
      <c r="Z38" s="30"/>
      <c r="AA38" s="30"/>
    </row>
    <row r="39" spans="1:27" ht="12.75">
      <c r="A39" s="133" t="s">
        <v>934</v>
      </c>
      <c r="B39" s="30"/>
      <c r="C39" s="146">
        <f t="shared" ref="C39:C40" si="13">C23</f>
        <v>0.33160000000000001</v>
      </c>
      <c r="D39" s="146">
        <f t="shared" ref="D39:E39" si="14">D23-C23</f>
        <v>0.32889999999999997</v>
      </c>
      <c r="E39" s="146">
        <f t="shared" si="14"/>
        <v>0.33520000000000005</v>
      </c>
      <c r="F39" s="146">
        <f t="shared" ref="F39:F40" si="15">F23</f>
        <v>0.3347</v>
      </c>
      <c r="G39" s="146">
        <f t="shared" ref="G39:H39" si="16">G23-F23</f>
        <v>0.33109999999999995</v>
      </c>
      <c r="H39" s="146">
        <f t="shared" si="16"/>
        <v>0.33550000000000013</v>
      </c>
      <c r="I39" s="146">
        <f t="shared" ref="I39:I40" si="17">I23</f>
        <v>0.34139999999999998</v>
      </c>
      <c r="J39" s="146">
        <f t="shared" ref="J39:K39" si="18">J23-I23</f>
        <v>0.33790000000000003</v>
      </c>
      <c r="K39" s="146">
        <f t="shared" si="18"/>
        <v>0.34079999999999999</v>
      </c>
      <c r="L39" s="146">
        <f t="shared" ref="L39:L40" si="19">L23</f>
        <v>0.34139999999999998</v>
      </c>
      <c r="M39" s="146">
        <f t="shared" ref="M39:N39" si="20">M23-L23</f>
        <v>0.33790000000000003</v>
      </c>
      <c r="N39" s="146">
        <f t="shared" si="20"/>
        <v>0.34079999999999999</v>
      </c>
      <c r="O39" s="30"/>
      <c r="P39" s="30"/>
      <c r="Q39" s="30"/>
      <c r="R39" s="30"/>
      <c r="S39" s="30"/>
      <c r="T39" s="30"/>
      <c r="U39" s="30"/>
      <c r="V39" s="30"/>
      <c r="W39" s="30"/>
      <c r="X39" s="30"/>
      <c r="Y39" s="30"/>
      <c r="Z39" s="30"/>
      <c r="AA39" s="30"/>
    </row>
    <row r="40" spans="1:27" ht="12.75">
      <c r="A40" s="133" t="s">
        <v>209</v>
      </c>
      <c r="B40" s="30"/>
      <c r="C40" s="146">
        <f t="shared" si="13"/>
        <v>0.2248</v>
      </c>
      <c r="D40" s="146">
        <f t="shared" ref="D40:E40" si="21">D24-C24</f>
        <v>0.22660000000000002</v>
      </c>
      <c r="E40" s="146">
        <f t="shared" si="21"/>
        <v>0.22789999999999999</v>
      </c>
      <c r="F40" s="146">
        <f t="shared" si="15"/>
        <v>0.22140000000000001</v>
      </c>
      <c r="G40" s="146">
        <f t="shared" ref="G40:H40" si="22">G24-F24</f>
        <v>0.21859999999999999</v>
      </c>
      <c r="H40" s="146">
        <f t="shared" si="22"/>
        <v>0.22220000000000001</v>
      </c>
      <c r="I40" s="146">
        <f t="shared" si="17"/>
        <v>0.21249999999999999</v>
      </c>
      <c r="J40" s="146">
        <f t="shared" ref="J40:K40" si="23">J24-I24</f>
        <v>0.21380000000000002</v>
      </c>
      <c r="K40" s="146">
        <f t="shared" si="23"/>
        <v>0.21750000000000003</v>
      </c>
      <c r="L40" s="146">
        <f t="shared" si="19"/>
        <v>0.2132</v>
      </c>
      <c r="M40" s="146">
        <f t="shared" ref="M40:N40" si="24">M24-L24</f>
        <v>0.21160000000000001</v>
      </c>
      <c r="N40" s="146">
        <f t="shared" si="24"/>
        <v>0.21839999999999998</v>
      </c>
      <c r="O40" s="30"/>
      <c r="P40" s="30"/>
      <c r="Q40" s="30"/>
      <c r="R40" s="30"/>
      <c r="S40" s="30"/>
      <c r="T40" s="30"/>
      <c r="U40" s="30"/>
      <c r="V40" s="30"/>
      <c r="W40" s="30"/>
      <c r="X40" s="30"/>
      <c r="Y40" s="30"/>
      <c r="Z40" s="30"/>
      <c r="AA40" s="30"/>
    </row>
    <row r="41" spans="1:27" ht="12.75">
      <c r="A41" s="133" t="s">
        <v>944</v>
      </c>
      <c r="B41" s="30"/>
      <c r="C41" s="146">
        <f t="shared" ref="C41:N41" si="25">C39-C40</f>
        <v>0.10680000000000001</v>
      </c>
      <c r="D41" s="146">
        <f t="shared" si="25"/>
        <v>0.10229999999999995</v>
      </c>
      <c r="E41" s="146">
        <f t="shared" si="25"/>
        <v>0.10730000000000006</v>
      </c>
      <c r="F41" s="146">
        <f t="shared" si="25"/>
        <v>0.11329999999999998</v>
      </c>
      <c r="G41" s="146">
        <f t="shared" si="25"/>
        <v>0.11249999999999996</v>
      </c>
      <c r="H41" s="146">
        <f t="shared" si="25"/>
        <v>0.11330000000000012</v>
      </c>
      <c r="I41" s="146">
        <f t="shared" si="25"/>
        <v>0.12889999999999999</v>
      </c>
      <c r="J41" s="146">
        <f t="shared" si="25"/>
        <v>0.12410000000000002</v>
      </c>
      <c r="K41" s="146">
        <f t="shared" si="25"/>
        <v>0.12329999999999997</v>
      </c>
      <c r="L41" s="146">
        <f t="shared" si="25"/>
        <v>0.12819999999999998</v>
      </c>
      <c r="M41" s="146">
        <f t="shared" si="25"/>
        <v>0.12630000000000002</v>
      </c>
      <c r="N41" s="146">
        <f t="shared" si="25"/>
        <v>0.12240000000000001</v>
      </c>
      <c r="O41" s="30"/>
      <c r="P41" s="30"/>
      <c r="Q41" s="30"/>
      <c r="R41" s="30"/>
      <c r="S41" s="30"/>
      <c r="T41" s="30"/>
      <c r="U41" s="30"/>
      <c r="V41" s="30"/>
      <c r="W41" s="30"/>
      <c r="X41" s="30"/>
      <c r="Y41" s="30"/>
      <c r="Z41" s="30"/>
      <c r="AA41" s="30"/>
    </row>
    <row r="42" spans="1:27" ht="12.75">
      <c r="A42" s="133" t="s">
        <v>945</v>
      </c>
      <c r="B42" s="30"/>
      <c r="C42" s="146">
        <f>AVERAGE(C41:E41)</f>
        <v>0.10546666666666667</v>
      </c>
      <c r="D42" s="30"/>
      <c r="E42" s="30"/>
      <c r="F42" s="146">
        <f>AVERAGE(F41:H41)</f>
        <v>0.11303333333333336</v>
      </c>
      <c r="G42" s="30"/>
      <c r="H42" s="30"/>
      <c r="I42" s="146">
        <f>AVERAGE(I41:K41)</f>
        <v>0.12543333333333331</v>
      </c>
      <c r="J42" s="30"/>
      <c r="K42" s="30"/>
      <c r="L42" s="146">
        <f>AVERAGE(L41:N41)</f>
        <v>0.12563333333333335</v>
      </c>
      <c r="M42" s="30"/>
      <c r="N42" s="30"/>
      <c r="O42" s="30"/>
      <c r="P42" s="30"/>
      <c r="Q42" s="30"/>
      <c r="R42" s="30"/>
      <c r="S42" s="30"/>
      <c r="T42" s="30"/>
      <c r="U42" s="30"/>
      <c r="V42" s="30"/>
      <c r="W42" s="30"/>
      <c r="X42" s="30"/>
      <c r="Y42" s="30"/>
      <c r="Z42" s="30"/>
      <c r="AA42" s="30"/>
    </row>
    <row r="43" spans="1:27" ht="12.75">
      <c r="A43" s="133" t="s">
        <v>946</v>
      </c>
      <c r="B43" s="30"/>
      <c r="C43" s="146">
        <f>(F42-C42)/15</f>
        <v>5.0444444444444625E-4</v>
      </c>
      <c r="D43" s="30"/>
      <c r="E43" s="30"/>
      <c r="F43" s="30"/>
      <c r="G43" s="30"/>
      <c r="H43" s="30"/>
      <c r="I43" s="30"/>
      <c r="J43" s="30"/>
      <c r="K43" s="30"/>
      <c r="L43" s="30"/>
      <c r="M43" s="30"/>
      <c r="N43" s="30"/>
      <c r="O43" s="30"/>
      <c r="P43" s="30"/>
      <c r="Q43" s="30"/>
      <c r="R43" s="30"/>
      <c r="S43" s="30"/>
      <c r="T43" s="30"/>
      <c r="U43" s="30"/>
      <c r="V43" s="30"/>
      <c r="W43" s="30"/>
      <c r="X43" s="30"/>
      <c r="Y43" s="30"/>
      <c r="Z43" s="30"/>
      <c r="AA43" s="30"/>
    </row>
    <row r="44" spans="1:27" ht="12.7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row>
    <row r="45" spans="1:27" ht="12.75">
      <c r="A45" s="30"/>
      <c r="B45" s="133"/>
      <c r="C45" s="133" t="s">
        <v>947</v>
      </c>
      <c r="D45" s="133" t="s">
        <v>930</v>
      </c>
      <c r="E45" s="30"/>
      <c r="F45" s="30"/>
      <c r="G45" s="30"/>
      <c r="H45" s="30"/>
      <c r="I45" s="30"/>
      <c r="J45" s="30"/>
      <c r="K45" s="30"/>
      <c r="L45" s="30"/>
      <c r="M45" s="30"/>
      <c r="N45" s="30"/>
      <c r="O45" s="30"/>
      <c r="P45" s="30"/>
      <c r="Q45" s="30"/>
      <c r="R45" s="30"/>
      <c r="S45" s="30"/>
      <c r="T45" s="30"/>
      <c r="U45" s="30"/>
      <c r="V45" s="30"/>
      <c r="W45" s="30"/>
      <c r="X45" s="30"/>
      <c r="Y45" s="30"/>
      <c r="Z45" s="30"/>
      <c r="AA45" s="30"/>
    </row>
    <row r="46" spans="1:27" ht="12.75">
      <c r="A46" s="133" t="s">
        <v>948</v>
      </c>
      <c r="B46" s="30"/>
      <c r="C46" s="146">
        <f>C33</f>
        <v>9.5700000000000049E-2</v>
      </c>
      <c r="D46" s="146">
        <f>C42</f>
        <v>0.10546666666666667</v>
      </c>
      <c r="E46" s="30"/>
      <c r="F46" s="30"/>
      <c r="G46" s="30"/>
      <c r="H46" s="30"/>
      <c r="I46" s="30"/>
      <c r="J46" s="30"/>
      <c r="K46" s="30"/>
      <c r="L46" s="30"/>
      <c r="M46" s="30"/>
      <c r="N46" s="30"/>
      <c r="O46" s="30"/>
      <c r="P46" s="30"/>
      <c r="Q46" s="30"/>
      <c r="R46" s="30"/>
      <c r="S46" s="30"/>
      <c r="T46" s="30"/>
      <c r="U46" s="30"/>
      <c r="V46" s="30"/>
      <c r="W46" s="30"/>
      <c r="X46" s="30"/>
      <c r="Y46" s="30"/>
      <c r="Z46" s="30"/>
      <c r="AA46" s="30"/>
    </row>
    <row r="47" spans="1:27" ht="12.75">
      <c r="A47" s="133" t="s">
        <v>949</v>
      </c>
      <c r="B47" s="30"/>
      <c r="C47" s="146">
        <f>F33</f>
        <v>0.10403333333333335</v>
      </c>
      <c r="D47" s="146">
        <f>F42</f>
        <v>0.11303333333333336</v>
      </c>
      <c r="E47" s="30"/>
      <c r="F47" s="30"/>
      <c r="G47" s="30"/>
      <c r="H47" s="30"/>
      <c r="I47" s="30"/>
      <c r="J47" s="30"/>
      <c r="K47" s="30"/>
      <c r="L47" s="30"/>
      <c r="M47" s="30"/>
      <c r="N47" s="30"/>
      <c r="O47" s="30"/>
      <c r="P47" s="30"/>
      <c r="Q47" s="30"/>
      <c r="R47" s="30"/>
      <c r="S47" s="30"/>
      <c r="T47" s="30"/>
      <c r="U47" s="30"/>
      <c r="V47" s="30"/>
      <c r="W47" s="30"/>
      <c r="X47" s="30"/>
      <c r="Y47" s="30"/>
      <c r="Z47" s="30"/>
      <c r="AA47" s="30"/>
    </row>
    <row r="48" spans="1:27" ht="12.75">
      <c r="A48" s="133" t="s">
        <v>950</v>
      </c>
      <c r="B48" s="30"/>
      <c r="C48" s="146">
        <f>I33</f>
        <v>0.11756666666666664</v>
      </c>
      <c r="D48" s="146">
        <f>I42</f>
        <v>0.12543333333333331</v>
      </c>
      <c r="E48" s="30"/>
      <c r="F48" s="30"/>
      <c r="G48" s="30"/>
      <c r="H48" s="30"/>
      <c r="I48" s="30"/>
      <c r="J48" s="30"/>
      <c r="K48" s="30"/>
      <c r="L48" s="30"/>
      <c r="M48" s="30"/>
      <c r="N48" s="30"/>
      <c r="O48" s="30"/>
      <c r="P48" s="30"/>
      <c r="Q48" s="30"/>
      <c r="R48" s="30"/>
      <c r="S48" s="30"/>
      <c r="T48" s="30"/>
      <c r="U48" s="30"/>
      <c r="V48" s="30"/>
      <c r="W48" s="30"/>
      <c r="X48" s="30"/>
      <c r="Y48" s="30"/>
      <c r="Z48" s="30"/>
      <c r="AA48" s="30"/>
    </row>
    <row r="49" spans="1:27" ht="12.75">
      <c r="A49" s="133" t="s">
        <v>951</v>
      </c>
      <c r="B49" s="30"/>
      <c r="C49" s="146">
        <f>L33</f>
        <v>0.11946666666666665</v>
      </c>
      <c r="D49" s="146">
        <f>L42</f>
        <v>0.12563333333333335</v>
      </c>
      <c r="E49" s="30"/>
      <c r="F49" s="30"/>
      <c r="G49" s="30"/>
      <c r="H49" s="30"/>
      <c r="I49" s="30"/>
      <c r="J49" s="30"/>
      <c r="K49" s="30"/>
      <c r="L49" s="30"/>
      <c r="M49" s="30"/>
      <c r="N49" s="30"/>
      <c r="O49" s="30"/>
      <c r="P49" s="30"/>
      <c r="Q49" s="30"/>
      <c r="R49" s="30"/>
      <c r="S49" s="30"/>
      <c r="T49" s="30"/>
      <c r="U49" s="30"/>
      <c r="V49" s="30"/>
      <c r="W49" s="30"/>
      <c r="X49" s="30"/>
      <c r="Y49" s="30"/>
      <c r="Z49" s="30"/>
      <c r="AA49" s="30"/>
    </row>
    <row r="50" spans="1:27" ht="12.7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row>
    <row r="51" spans="1:27" ht="12.75">
      <c r="A51" s="30" t="s">
        <v>12</v>
      </c>
      <c r="B51" s="30"/>
      <c r="C51" s="30" t="s">
        <v>952</v>
      </c>
      <c r="D51" s="30" t="s">
        <v>953</v>
      </c>
      <c r="E51" s="30"/>
      <c r="F51" s="30"/>
      <c r="G51" s="30"/>
      <c r="H51" s="30"/>
      <c r="I51" s="30"/>
      <c r="J51" s="30"/>
      <c r="K51" s="30"/>
      <c r="L51" s="30"/>
      <c r="M51" s="30"/>
      <c r="N51" s="30"/>
      <c r="O51" s="30"/>
      <c r="P51" s="30"/>
      <c r="Q51" s="30"/>
      <c r="R51" s="30"/>
      <c r="S51" s="30"/>
      <c r="T51" s="30"/>
      <c r="U51" s="30"/>
      <c r="V51" s="30"/>
      <c r="W51" s="30"/>
      <c r="X51" s="30"/>
      <c r="Y51" s="30"/>
      <c r="Z51" s="30"/>
      <c r="AA51" s="30"/>
    </row>
    <row r="52" spans="1:27" ht="12.75">
      <c r="A52" s="133">
        <v>0</v>
      </c>
      <c r="B52" s="133"/>
      <c r="C52" s="133">
        <v>0.34370000000000001</v>
      </c>
      <c r="D52" s="133">
        <v>0.33160000000000001</v>
      </c>
      <c r="E52" s="133"/>
      <c r="F52" s="133"/>
      <c r="G52" s="133"/>
      <c r="H52" s="133"/>
      <c r="I52" s="133"/>
      <c r="J52" s="133"/>
      <c r="K52" s="133"/>
      <c r="L52" s="133"/>
      <c r="M52" s="133"/>
      <c r="N52" s="133"/>
      <c r="O52" s="133"/>
      <c r="P52" s="133"/>
      <c r="Q52" s="133"/>
      <c r="R52" s="133"/>
      <c r="S52" s="133"/>
      <c r="T52" s="133"/>
      <c r="U52" s="133"/>
      <c r="V52" s="133"/>
      <c r="W52" s="133"/>
      <c r="X52" s="133"/>
      <c r="Y52" s="133"/>
      <c r="Z52" s="133"/>
      <c r="AA52" s="133"/>
    </row>
    <row r="53" spans="1:27" ht="12.75">
      <c r="A53" s="133">
        <v>0</v>
      </c>
      <c r="B53" s="133"/>
      <c r="C53" s="133">
        <v>0.33079999999999998</v>
      </c>
      <c r="D53" s="133">
        <v>0.32890000000000003</v>
      </c>
      <c r="E53" s="133"/>
      <c r="F53" s="133"/>
      <c r="G53" s="133"/>
      <c r="H53" s="133"/>
      <c r="I53" s="133"/>
      <c r="J53" s="133"/>
      <c r="K53" s="133"/>
      <c r="L53" s="133"/>
      <c r="M53" s="133"/>
      <c r="N53" s="133"/>
      <c r="O53" s="133"/>
      <c r="P53" s="133"/>
      <c r="Q53" s="133"/>
      <c r="R53" s="133"/>
      <c r="S53" s="133"/>
      <c r="T53" s="133"/>
      <c r="U53" s="133"/>
      <c r="V53" s="133"/>
      <c r="W53" s="133"/>
      <c r="X53" s="133"/>
      <c r="Y53" s="133"/>
      <c r="Z53" s="133"/>
      <c r="AA53" s="133"/>
    </row>
    <row r="54" spans="1:27" ht="12.75">
      <c r="A54" s="133">
        <v>0</v>
      </c>
      <c r="B54" s="133"/>
      <c r="C54" s="133">
        <v>0.33460000000000001</v>
      </c>
      <c r="D54" s="133">
        <v>0.3352</v>
      </c>
      <c r="E54" s="133"/>
      <c r="F54" s="133"/>
      <c r="G54" s="133"/>
      <c r="H54" s="133"/>
      <c r="I54" s="133"/>
      <c r="J54" s="133"/>
      <c r="K54" s="133"/>
      <c r="L54" s="133"/>
      <c r="M54" s="133"/>
      <c r="N54" s="133"/>
      <c r="O54" s="133"/>
      <c r="P54" s="133"/>
      <c r="Q54" s="133"/>
      <c r="R54" s="133"/>
      <c r="S54" s="133"/>
      <c r="T54" s="133"/>
      <c r="U54" s="133"/>
      <c r="V54" s="133"/>
      <c r="W54" s="133"/>
      <c r="X54" s="133"/>
      <c r="Y54" s="133"/>
      <c r="Z54" s="133"/>
      <c r="AA54" s="133"/>
    </row>
    <row r="55" spans="1:27" ht="12.75">
      <c r="A55" s="30">
        <v>0</v>
      </c>
      <c r="B55" s="30"/>
      <c r="C55" s="30">
        <v>0.33450000000000002</v>
      </c>
      <c r="D55" s="30">
        <v>0.3347</v>
      </c>
      <c r="E55" s="30"/>
      <c r="F55" s="30"/>
      <c r="G55" s="30"/>
      <c r="H55" s="30"/>
      <c r="I55" s="30"/>
      <c r="J55" s="30"/>
      <c r="K55" s="30"/>
      <c r="L55" s="30"/>
      <c r="M55" s="30"/>
      <c r="N55" s="30"/>
      <c r="O55" s="30"/>
      <c r="P55" s="30"/>
      <c r="Q55" s="30"/>
      <c r="R55" s="30"/>
      <c r="S55" s="30"/>
      <c r="T55" s="30"/>
      <c r="U55" s="30"/>
      <c r="V55" s="30"/>
      <c r="W55" s="30"/>
      <c r="X55" s="30"/>
      <c r="Y55" s="30"/>
      <c r="Z55" s="30"/>
      <c r="AA55" s="30"/>
    </row>
    <row r="56" spans="1:27" ht="12.75">
      <c r="A56" s="133">
        <v>0</v>
      </c>
      <c r="B56" s="133"/>
      <c r="C56" s="133">
        <v>0.34439999999999998</v>
      </c>
      <c r="D56" s="133">
        <v>0.33110000000000001</v>
      </c>
      <c r="E56" s="133"/>
      <c r="F56" s="133"/>
      <c r="G56" s="133"/>
      <c r="H56" s="133"/>
      <c r="I56" s="133"/>
      <c r="J56" s="133"/>
      <c r="K56" s="133"/>
      <c r="L56" s="133"/>
      <c r="M56" s="133"/>
      <c r="N56" s="133"/>
      <c r="O56" s="133"/>
      <c r="P56" s="133"/>
      <c r="Q56" s="133"/>
      <c r="R56" s="133"/>
      <c r="S56" s="133"/>
      <c r="T56" s="133"/>
      <c r="U56" s="133"/>
      <c r="V56" s="133"/>
      <c r="W56" s="133"/>
      <c r="X56" s="133"/>
      <c r="Y56" s="133"/>
      <c r="Z56" s="133"/>
      <c r="AA56" s="133"/>
    </row>
    <row r="57" spans="1:27" ht="12.75">
      <c r="A57" s="133">
        <v>0</v>
      </c>
      <c r="B57" s="133"/>
      <c r="C57" s="133">
        <v>0.31869999999999998</v>
      </c>
      <c r="D57" s="133">
        <v>0.33550000000000002</v>
      </c>
      <c r="E57" s="133"/>
      <c r="F57" s="133"/>
      <c r="G57" s="133"/>
      <c r="H57" s="133"/>
      <c r="I57" s="133"/>
      <c r="J57" s="133"/>
      <c r="K57" s="133"/>
      <c r="L57" s="133"/>
      <c r="M57" s="133"/>
      <c r="N57" s="133"/>
      <c r="O57" s="133"/>
      <c r="P57" s="133"/>
      <c r="Q57" s="133"/>
      <c r="R57" s="133"/>
      <c r="S57" s="133"/>
      <c r="T57" s="133"/>
      <c r="U57" s="133"/>
      <c r="V57" s="133"/>
      <c r="W57" s="133"/>
      <c r="X57" s="133"/>
      <c r="Y57" s="133"/>
      <c r="Z57" s="133"/>
      <c r="AA57" s="133"/>
    </row>
    <row r="58" spans="1:27" ht="12.75">
      <c r="A58" s="133">
        <v>15</v>
      </c>
      <c r="B58" s="133"/>
      <c r="C58" s="133">
        <v>0.24590000000000001</v>
      </c>
      <c r="D58" s="133">
        <v>0.2248</v>
      </c>
      <c r="E58" s="133"/>
      <c r="F58" s="133"/>
      <c r="G58" s="133"/>
      <c r="H58" s="133"/>
      <c r="I58" s="133"/>
      <c r="J58" s="133"/>
      <c r="K58" s="133"/>
      <c r="L58" s="133"/>
      <c r="M58" s="133"/>
      <c r="N58" s="133"/>
      <c r="O58" s="133"/>
      <c r="P58" s="133"/>
      <c r="Q58" s="133"/>
      <c r="R58" s="133"/>
      <c r="S58" s="133"/>
      <c r="T58" s="133"/>
      <c r="U58" s="133"/>
      <c r="V58" s="133"/>
      <c r="W58" s="133"/>
      <c r="X58" s="133"/>
      <c r="Y58" s="133"/>
      <c r="Z58" s="133"/>
      <c r="AA58" s="133"/>
    </row>
    <row r="59" spans="1:27" ht="12.75">
      <c r="A59" s="30">
        <v>15</v>
      </c>
      <c r="B59" s="30"/>
      <c r="C59" s="30">
        <v>0.2331</v>
      </c>
      <c r="D59" s="30">
        <v>0.2266</v>
      </c>
      <c r="E59" s="30"/>
      <c r="F59" s="30"/>
      <c r="G59" s="30"/>
      <c r="H59" s="30"/>
      <c r="I59" s="30"/>
      <c r="J59" s="30"/>
      <c r="K59" s="30"/>
      <c r="L59" s="30"/>
      <c r="M59" s="30"/>
      <c r="N59" s="30"/>
      <c r="O59" s="30"/>
      <c r="P59" s="30"/>
      <c r="Q59" s="30"/>
      <c r="R59" s="30"/>
      <c r="S59" s="30"/>
      <c r="T59" s="30"/>
      <c r="U59" s="30"/>
      <c r="V59" s="30"/>
      <c r="W59" s="30"/>
      <c r="X59" s="30"/>
      <c r="Y59" s="30"/>
      <c r="Z59" s="30"/>
      <c r="AA59" s="30"/>
    </row>
    <row r="60" spans="1:27" ht="12.75">
      <c r="A60" s="133">
        <v>15</v>
      </c>
      <c r="B60" s="133"/>
      <c r="C60" s="133">
        <v>0.24299999999999999</v>
      </c>
      <c r="D60" s="133">
        <v>0.22789999999999999</v>
      </c>
      <c r="E60" s="133"/>
      <c r="F60" s="133"/>
      <c r="G60" s="133"/>
      <c r="H60" s="133"/>
      <c r="I60" s="133"/>
      <c r="J60" s="133"/>
      <c r="K60" s="133"/>
      <c r="L60" s="133"/>
      <c r="M60" s="133"/>
      <c r="N60" s="133"/>
      <c r="O60" s="133"/>
      <c r="P60" s="133"/>
      <c r="Q60" s="133"/>
      <c r="R60" s="133"/>
      <c r="S60" s="133"/>
      <c r="T60" s="133"/>
      <c r="U60" s="133"/>
      <c r="V60" s="133"/>
      <c r="W60" s="133"/>
      <c r="X60" s="133"/>
      <c r="Y60" s="133"/>
      <c r="Z60" s="133"/>
      <c r="AA60" s="133"/>
    </row>
    <row r="61" spans="1:27" ht="12.75">
      <c r="A61" s="133">
        <v>30</v>
      </c>
      <c r="B61" s="133"/>
      <c r="C61" s="133">
        <v>0.23280000000000001</v>
      </c>
      <c r="D61" s="133">
        <v>0.22140000000000001</v>
      </c>
      <c r="E61" s="133"/>
      <c r="F61" s="133"/>
      <c r="G61" s="133"/>
      <c r="H61" s="133"/>
      <c r="I61" s="133"/>
      <c r="J61" s="133"/>
      <c r="K61" s="133"/>
      <c r="L61" s="133"/>
      <c r="M61" s="133"/>
      <c r="N61" s="133"/>
      <c r="O61" s="133"/>
      <c r="P61" s="133"/>
      <c r="Q61" s="133"/>
      <c r="R61" s="133"/>
      <c r="S61" s="133"/>
      <c r="T61" s="133"/>
      <c r="U61" s="133"/>
      <c r="V61" s="133"/>
      <c r="W61" s="133"/>
      <c r="X61" s="133"/>
      <c r="Y61" s="133"/>
      <c r="Z61" s="133"/>
      <c r="AA61" s="133"/>
    </row>
    <row r="62" spans="1:27" ht="12.75">
      <c r="A62" s="133">
        <v>30</v>
      </c>
      <c r="B62" s="133"/>
      <c r="C62" s="133">
        <v>0.2263</v>
      </c>
      <c r="D62" s="133">
        <v>0.21859999999999999</v>
      </c>
      <c r="E62" s="133"/>
      <c r="F62" s="133"/>
      <c r="G62" s="133"/>
      <c r="H62" s="133"/>
      <c r="I62" s="133"/>
      <c r="J62" s="133"/>
      <c r="K62" s="133"/>
      <c r="L62" s="133"/>
      <c r="M62" s="133"/>
      <c r="N62" s="133"/>
      <c r="O62" s="133"/>
      <c r="P62" s="133"/>
      <c r="Q62" s="133"/>
      <c r="R62" s="133"/>
      <c r="S62" s="133"/>
      <c r="T62" s="133"/>
      <c r="U62" s="133"/>
      <c r="V62" s="133"/>
      <c r="W62" s="133"/>
      <c r="X62" s="133"/>
      <c r="Y62" s="133"/>
      <c r="Z62" s="133"/>
      <c r="AA62" s="133"/>
    </row>
    <row r="63" spans="1:27" ht="15">
      <c r="A63" s="160">
        <v>30</v>
      </c>
      <c r="B63" s="160"/>
      <c r="C63" s="160">
        <v>0.22639999999999999</v>
      </c>
      <c r="D63" s="160">
        <v>0.22220000000000001</v>
      </c>
      <c r="E63" s="161"/>
      <c r="F63" s="161"/>
      <c r="G63" s="161"/>
      <c r="H63" s="30"/>
      <c r="I63" s="30"/>
      <c r="J63" s="30"/>
      <c r="K63" s="30"/>
      <c r="L63" s="30"/>
      <c r="M63" s="30"/>
      <c r="N63" s="30"/>
      <c r="O63" s="30"/>
      <c r="P63" s="30"/>
      <c r="Q63" s="30"/>
      <c r="R63" s="30"/>
      <c r="S63" s="30"/>
      <c r="T63" s="30"/>
      <c r="U63" s="30"/>
      <c r="V63" s="30"/>
      <c r="W63" s="30"/>
      <c r="X63" s="30"/>
      <c r="Y63" s="30"/>
      <c r="Z63" s="30"/>
      <c r="AA63" s="30"/>
    </row>
    <row r="64" spans="1:27" ht="15">
      <c r="A64" s="162">
        <v>60</v>
      </c>
      <c r="B64" s="160"/>
      <c r="C64" s="160">
        <v>0.2087</v>
      </c>
      <c r="D64" s="160">
        <v>0.2132</v>
      </c>
      <c r="E64" s="30"/>
      <c r="F64" s="30"/>
      <c r="G64" s="30"/>
      <c r="H64" s="30"/>
      <c r="I64" s="30"/>
      <c r="J64" s="30"/>
      <c r="K64" s="30"/>
      <c r="L64" s="30"/>
      <c r="M64" s="30"/>
      <c r="N64" s="30"/>
      <c r="O64" s="30"/>
      <c r="P64" s="30"/>
      <c r="Q64" s="30"/>
      <c r="R64" s="30"/>
      <c r="S64" s="30"/>
      <c r="T64" s="30"/>
      <c r="U64" s="30"/>
      <c r="V64" s="30"/>
      <c r="W64" s="30"/>
      <c r="X64" s="30"/>
      <c r="Y64" s="30"/>
      <c r="Z64" s="30"/>
      <c r="AA64" s="30"/>
    </row>
    <row r="65" spans="1:27" ht="15">
      <c r="A65" s="162">
        <v>60</v>
      </c>
      <c r="B65" s="160"/>
      <c r="C65" s="160">
        <v>0.22450000000000001</v>
      </c>
      <c r="D65" s="160">
        <v>0.21160000000000001</v>
      </c>
      <c r="E65" s="30"/>
      <c r="F65" s="30"/>
      <c r="G65" s="30"/>
      <c r="H65" s="30"/>
      <c r="I65" s="30"/>
      <c r="J65" s="30"/>
      <c r="K65" s="30"/>
      <c r="L65" s="30"/>
      <c r="M65" s="30"/>
      <c r="N65" s="30"/>
      <c r="O65" s="30"/>
      <c r="P65" s="30"/>
      <c r="Q65" s="30"/>
      <c r="R65" s="30"/>
      <c r="S65" s="30"/>
      <c r="T65" s="30"/>
      <c r="U65" s="30"/>
      <c r="V65" s="30"/>
      <c r="W65" s="30"/>
      <c r="X65" s="30"/>
      <c r="Y65" s="30"/>
      <c r="Z65" s="30"/>
      <c r="AA65" s="30"/>
    </row>
    <row r="66" spans="1:27" ht="15">
      <c r="A66" s="162">
        <v>60</v>
      </c>
      <c r="B66" s="160"/>
      <c r="C66" s="160">
        <v>0.217</v>
      </c>
      <c r="D66" s="160">
        <v>0.21840000000000001</v>
      </c>
      <c r="E66" s="30"/>
      <c r="F66" s="30"/>
      <c r="G66" s="30"/>
      <c r="H66" s="30"/>
      <c r="I66" s="30"/>
      <c r="J66" s="30"/>
      <c r="K66" s="30"/>
      <c r="L66" s="30"/>
      <c r="M66" s="30"/>
      <c r="N66" s="30"/>
      <c r="O66" s="30"/>
      <c r="P66" s="30"/>
      <c r="Q66" s="30"/>
      <c r="R66" s="30"/>
      <c r="S66" s="30"/>
      <c r="T66" s="30"/>
      <c r="U66" s="30"/>
      <c r="V66" s="30"/>
      <c r="W66" s="30"/>
      <c r="X66" s="30"/>
      <c r="Y66" s="30"/>
      <c r="Z66" s="30"/>
      <c r="AA66" s="30"/>
    </row>
    <row r="67" spans="1:27" ht="12.7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row>
    <row r="68" spans="1:27" ht="12.7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row>
    <row r="69" spans="1:27" ht="12.7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row>
    <row r="70" spans="1:27" ht="12.7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row>
    <row r="71" spans="1:27" ht="12.75">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row>
    <row r="72" spans="1:27" ht="12.75">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row>
    <row r="73" spans="1:27" ht="12.75">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row>
    <row r="74" spans="1:27" ht="12.75">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row>
    <row r="75" spans="1:27" ht="12.7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row>
    <row r="76" spans="1:27" ht="12.7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row>
    <row r="77" spans="1:27" ht="12.7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row>
    <row r="78" spans="1:27" ht="12.7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row>
    <row r="79" spans="1:27" ht="12.7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row>
    <row r="80" spans="1:27" ht="12.7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row>
    <row r="81" spans="1:27" ht="12.75">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row>
    <row r="82" spans="1:27" ht="12.7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row>
    <row r="83" spans="1:27" ht="12.7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row>
    <row r="84" spans="1:27" ht="12.7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row>
    <row r="85" spans="1:27" ht="12.7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row>
    <row r="86" spans="1:27" ht="12.7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row>
    <row r="87" spans="1:27" ht="12.7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row>
    <row r="88" spans="1:27" ht="12.7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row>
    <row r="89" spans="1:27" ht="12.7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row>
    <row r="90" spans="1:27" ht="12.7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row>
    <row r="91" spans="1:27" ht="12.7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row>
    <row r="92" spans="1:27" ht="12.7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row>
    <row r="93" spans="1:27" ht="12.7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row>
    <row r="94" spans="1:27" ht="12.7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row>
    <row r="95" spans="1:27" ht="12.7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row>
    <row r="96" spans="1:27" ht="12.7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row>
    <row r="97" spans="1:27" ht="12.7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row>
    <row r="98" spans="1:27" ht="12.7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row>
    <row r="99" spans="1:27" ht="12.7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row>
    <row r="100" spans="1:27" ht="12.7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row>
    <row r="101" spans="1:27" ht="12.7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row>
    <row r="102" spans="1:27" ht="12.7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row>
    <row r="103" spans="1:27" ht="12.7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row>
    <row r="104" spans="1:27" ht="12.7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row>
    <row r="105" spans="1:27" ht="12.7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row>
    <row r="106" spans="1:27" ht="12.7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row>
    <row r="107" spans="1:27" ht="12.7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row>
    <row r="108" spans="1:27" ht="12.7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row>
    <row r="109" spans="1:27" ht="12.7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row>
    <row r="110" spans="1:27" ht="12.7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row>
    <row r="111" spans="1:27" ht="12.7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row>
    <row r="112" spans="1:27" ht="12.7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row>
    <row r="113" spans="1:27" ht="12.7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row>
    <row r="114" spans="1:27" ht="12.7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row>
    <row r="115" spans="1:27" ht="12.7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row>
    <row r="116" spans="1:27" ht="12.7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row>
    <row r="117" spans="1:27" ht="12.7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row>
    <row r="118" spans="1:27" ht="12.7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row>
    <row r="119" spans="1:27" ht="12.7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row>
    <row r="120" spans="1:27" ht="12.7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row>
    <row r="121" spans="1:27" ht="12.7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row>
    <row r="122" spans="1:27" ht="12.7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row>
    <row r="123" spans="1:27" ht="12.7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row>
    <row r="124" spans="1:27" ht="12.7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row>
    <row r="125" spans="1:27" ht="12.7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row>
    <row r="126" spans="1:27" ht="12.7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row>
    <row r="127" spans="1:27" ht="12.7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row>
    <row r="128" spans="1:27" ht="12.7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row>
    <row r="129" spans="1:27" ht="12.7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row>
    <row r="130" spans="1:27" ht="12.7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row>
    <row r="131" spans="1:27" ht="12.7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row>
    <row r="132" spans="1:27" ht="12.7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row>
    <row r="133" spans="1:27" ht="12.7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row>
    <row r="134" spans="1:27" ht="12.7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row>
    <row r="135" spans="1:27" ht="12.7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row>
    <row r="136" spans="1:27" ht="12.7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row>
    <row r="137" spans="1:27" ht="12.7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row>
    <row r="138" spans="1:27" ht="12.7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row>
    <row r="139" spans="1:27" ht="12.7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row>
    <row r="140" spans="1:27" ht="12.7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row>
    <row r="141" spans="1:27" ht="12.7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row>
    <row r="142" spans="1:27" ht="12.7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row>
    <row r="143" spans="1:27" ht="12.7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row>
    <row r="144" spans="1:27" ht="12.7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row>
    <row r="145" spans="1:27" ht="12.7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row>
    <row r="146" spans="1:27" ht="12.7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row>
    <row r="147" spans="1:27" ht="12.7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row>
    <row r="148" spans="1:27" ht="12.7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row>
    <row r="149" spans="1:27" ht="12.7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row>
    <row r="150" spans="1:27" ht="12.7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row>
    <row r="151" spans="1:27" ht="12.7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row>
    <row r="152" spans="1:27" ht="12.7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row>
    <row r="153" spans="1:27" ht="12.7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row>
    <row r="154" spans="1:27" ht="12.7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row>
    <row r="155" spans="1:27" ht="12.7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row>
    <row r="156" spans="1:27" ht="12.7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row>
    <row r="157" spans="1:27" ht="12.7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row>
    <row r="158" spans="1:27" ht="12.7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row>
    <row r="159" spans="1:27" ht="12.7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row>
    <row r="160" spans="1:27" ht="12.7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row>
    <row r="161" spans="1:27" ht="12.7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row>
    <row r="162" spans="1:27" ht="12.7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row>
    <row r="163" spans="1:27" ht="12.7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row>
    <row r="164" spans="1:27" ht="12.7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row>
    <row r="165" spans="1:27" ht="12.7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row>
    <row r="166" spans="1:27" ht="12.75">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row>
    <row r="167" spans="1:27" ht="12.75">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row>
    <row r="168" spans="1:27" ht="12.75">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row>
    <row r="169" spans="1:27" ht="12.75">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row>
    <row r="170" spans="1:27" ht="12.75">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row>
    <row r="171" spans="1:27" ht="12.75">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row>
    <row r="172" spans="1:27" ht="12.75">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row>
    <row r="173" spans="1:27" ht="12.75">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row>
    <row r="174" spans="1:27" ht="12.75">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row>
    <row r="175" spans="1:27" ht="12.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row>
    <row r="176" spans="1:27" ht="12.75">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row>
    <row r="177" spans="1:27" ht="12.75">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row>
    <row r="178" spans="1:27" ht="12.75">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row>
    <row r="179" spans="1:27" ht="12.75">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row>
    <row r="180" spans="1:27" ht="12.75">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row>
    <row r="181" spans="1:27" ht="12.75">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row>
    <row r="182" spans="1:27" ht="12.75">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row>
    <row r="183" spans="1:27" ht="12.75">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row>
    <row r="184" spans="1:27" ht="12.75">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row>
    <row r="185" spans="1:27" ht="12.7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row>
    <row r="186" spans="1:27" ht="12.75">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row>
    <row r="187" spans="1:27" ht="12.75">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row>
    <row r="188" spans="1:27" ht="12.75">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row>
    <row r="189" spans="1:27" ht="12.75">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row>
    <row r="190" spans="1:27" ht="12.75">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row>
    <row r="191" spans="1:27" ht="12.75">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row>
    <row r="192" spans="1:27" ht="12.75">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row>
    <row r="193" spans="1:27" ht="12.75">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row>
    <row r="194" spans="1:27" ht="12.75">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row>
    <row r="195" spans="1:27" ht="12.7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row>
    <row r="196" spans="1:27" ht="12.75">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row>
    <row r="197" spans="1:27" ht="12.75">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row>
    <row r="198" spans="1:27" ht="12.75">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row>
    <row r="199" spans="1:27" ht="12.75">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row>
    <row r="200" spans="1:27" ht="12.75">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row>
    <row r="201" spans="1:27" ht="12.75">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row>
    <row r="202" spans="1:27" ht="12.75">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row>
    <row r="203" spans="1:27" ht="12.75">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row>
    <row r="204" spans="1:27" ht="12.75">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row>
    <row r="205" spans="1:27" ht="12.7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row>
    <row r="206" spans="1:27" ht="12.75">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row>
    <row r="207" spans="1:27" ht="12.75">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row>
    <row r="208" spans="1:27" ht="12.75">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row>
    <row r="209" spans="1:27" ht="12.75">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row>
    <row r="210" spans="1:27" ht="12.75">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row>
    <row r="211" spans="1:27" ht="12.7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row>
    <row r="212" spans="1:27" ht="12.7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row>
    <row r="213" spans="1:27" ht="12.75">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row>
    <row r="214" spans="1:27" ht="12.75">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row>
    <row r="215" spans="1:27" ht="12.7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row>
    <row r="216" spans="1:27" ht="12.75">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row>
    <row r="217" spans="1:27" ht="12.75">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row>
    <row r="218" spans="1:27" ht="12.75">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row>
    <row r="219" spans="1:27" ht="12.75">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row>
    <row r="220" spans="1:27" ht="12.75">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row>
    <row r="221" spans="1:27" ht="12.75">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row>
    <row r="222" spans="1:27" ht="12.75">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row>
    <row r="223" spans="1:27" ht="12.75">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row>
    <row r="224" spans="1:27" ht="12.75">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row>
    <row r="225" spans="1:27" ht="12.7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row>
    <row r="226" spans="1:27" ht="12.75">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row>
    <row r="227" spans="1:27" ht="12.75">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row>
    <row r="228" spans="1:27" ht="12.75">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row>
    <row r="229" spans="1:27" ht="12.75">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row>
    <row r="230" spans="1:27" ht="12.75">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row>
    <row r="231" spans="1:27" ht="12.75">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row>
    <row r="232" spans="1:27" ht="12.75">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row>
    <row r="233" spans="1:27" ht="12.75">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row>
    <row r="234" spans="1:27" ht="12.75">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row>
    <row r="235" spans="1:27" ht="12.7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row>
    <row r="236" spans="1:27" ht="12.75">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row>
    <row r="237" spans="1:27" ht="12.75">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row>
    <row r="238" spans="1:27" ht="12.75">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row>
    <row r="239" spans="1:27" ht="12.75">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row>
    <row r="240" spans="1:27" ht="12.75">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row>
    <row r="241" spans="1:27" ht="12.75">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row>
    <row r="242" spans="1:27" ht="12.75">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row>
    <row r="243" spans="1:27" ht="12.75">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row>
    <row r="244" spans="1:27" ht="12.75">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row>
    <row r="245" spans="1:27" ht="12.7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row>
    <row r="246" spans="1:27" ht="12.75">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row>
    <row r="247" spans="1:27" ht="12.75">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row>
    <row r="248" spans="1:27" ht="12.75">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row>
    <row r="249" spans="1:27" ht="12.75">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row>
    <row r="250" spans="1:27" ht="12.75">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row>
    <row r="251" spans="1:27" ht="12.75">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row>
    <row r="252" spans="1:27" ht="12.75">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row>
    <row r="253" spans="1:27" ht="12.75">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row>
    <row r="254" spans="1:27" ht="12.75">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row>
    <row r="255" spans="1:27" ht="12.7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row>
    <row r="256" spans="1:27" ht="12.75">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row>
    <row r="257" spans="1:27" ht="12.75">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row>
    <row r="258" spans="1:27" ht="12.75">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row>
    <row r="259" spans="1:27" ht="12.75">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row>
    <row r="260" spans="1:27" ht="12.75">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row>
    <row r="261" spans="1:27" ht="12.75">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row>
    <row r="262" spans="1:27" ht="12.75">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row>
    <row r="263" spans="1:27" ht="12.75">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row>
    <row r="264" spans="1:27" ht="12.75">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row>
    <row r="265" spans="1:27" ht="12.7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row>
    <row r="266" spans="1:27" ht="12.75">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row>
    <row r="267" spans="1:27" ht="12.75">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row>
    <row r="268" spans="1:27" ht="12.75">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row>
    <row r="269" spans="1:27" ht="12.75">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row>
    <row r="270" spans="1:27" ht="12.75">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row>
    <row r="271" spans="1:27" ht="12.75">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row>
    <row r="272" spans="1:27" ht="12.75">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row>
    <row r="273" spans="1:27" ht="12.75">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row>
    <row r="274" spans="1:27" ht="12.75">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row>
    <row r="275" spans="1:27" ht="1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row>
    <row r="276" spans="1:27" ht="12.75">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row>
    <row r="277" spans="1:27" ht="12.75">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row>
    <row r="278" spans="1:27" ht="12.75">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row>
    <row r="279" spans="1:27" ht="12.75">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row>
    <row r="280" spans="1:27" ht="12.75">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row>
    <row r="281" spans="1:27" ht="12.75">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row>
    <row r="282" spans="1:27" ht="12.75">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row>
    <row r="283" spans="1:27" ht="12.75">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row>
    <row r="284" spans="1:27" ht="12.75">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row>
    <row r="285" spans="1:27" ht="12.7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row>
    <row r="286" spans="1:27" ht="12.75">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row>
    <row r="287" spans="1:27" ht="12.75">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row>
    <row r="288" spans="1:27" ht="12.75">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row>
    <row r="289" spans="1:27" ht="12.75">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row>
    <row r="290" spans="1:27" ht="12.75">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row>
    <row r="291" spans="1:27" ht="12.75">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row>
    <row r="292" spans="1:27" ht="12.7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row>
    <row r="293" spans="1:27" ht="12.7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row>
    <row r="294" spans="1:27" ht="12.7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row>
    <row r="295" spans="1:27" ht="12.7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row>
    <row r="296" spans="1:27" ht="12.7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row>
    <row r="297" spans="1:27" ht="12.7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row>
    <row r="298" spans="1:27" ht="12.7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row>
    <row r="299" spans="1:27" ht="12.7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row>
    <row r="300" spans="1:27" ht="12.7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row>
    <row r="301" spans="1:27" ht="12.7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row>
    <row r="302" spans="1:27" ht="12.7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row>
    <row r="303" spans="1:27" ht="12.7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row>
    <row r="304" spans="1:27" ht="12.7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row>
    <row r="305" spans="1:27" ht="12.7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row>
    <row r="306" spans="1:27" ht="12.7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row>
    <row r="307" spans="1:27" ht="12.7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row>
    <row r="308" spans="1:27" ht="12.7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row>
    <row r="309" spans="1:27" ht="12.7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row>
    <row r="310" spans="1:27" ht="12.7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row>
    <row r="311" spans="1:27" ht="12.7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row>
    <row r="312" spans="1:27" ht="12.7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row>
    <row r="313" spans="1:27" ht="12.7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row>
    <row r="314" spans="1:27" ht="12.7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row>
    <row r="315" spans="1:27" ht="12.7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row>
    <row r="316" spans="1:27" ht="12.7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row>
    <row r="317" spans="1:27" ht="12.7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row>
    <row r="318" spans="1:27" ht="12.7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row>
    <row r="319" spans="1:27" ht="12.7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row>
    <row r="320" spans="1:27" ht="12.7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row>
    <row r="321" spans="1:27" ht="12.7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row>
    <row r="322" spans="1:27" ht="12.7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row>
    <row r="323" spans="1:27" ht="12.7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row>
    <row r="324" spans="1:27" ht="12.7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row>
    <row r="325" spans="1:27" ht="12.7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row>
    <row r="326" spans="1:27" ht="12.7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row>
    <row r="327" spans="1:27" ht="12.7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row>
    <row r="328" spans="1:27" ht="12.7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row>
    <row r="329" spans="1:27" ht="12.7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row>
    <row r="330" spans="1:27" ht="12.7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row>
    <row r="331" spans="1:27" ht="12.7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row>
    <row r="332" spans="1:27" ht="12.7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row>
    <row r="333" spans="1:27" ht="12.7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row>
    <row r="334" spans="1:27" ht="12.7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row>
    <row r="335" spans="1:27" ht="12.7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row>
    <row r="336" spans="1:27" ht="12.7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row>
    <row r="337" spans="1:27" ht="12.7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row>
    <row r="338" spans="1:27" ht="12.75">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row>
    <row r="339" spans="1:27" ht="12.75">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row>
    <row r="340" spans="1:27" ht="12.75">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row>
    <row r="341" spans="1:27" ht="12.75">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row>
    <row r="342" spans="1:27" ht="12.75">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row>
    <row r="343" spans="1:27" ht="12.75">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row>
    <row r="344" spans="1:27" ht="12.75">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row>
    <row r="345" spans="1:27" ht="12.7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row>
    <row r="346" spans="1:27" ht="12.75">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row>
    <row r="347" spans="1:27" ht="12.75">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row>
    <row r="348" spans="1:27" ht="12.75">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row>
    <row r="349" spans="1:27" ht="12.75">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row>
    <row r="350" spans="1:27" ht="12.75">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row>
    <row r="351" spans="1:27" ht="12.75">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row>
    <row r="352" spans="1:27" ht="12.75">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row>
    <row r="353" spans="1:27" ht="12.75">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row>
    <row r="354" spans="1:27" ht="12.75">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row>
    <row r="355" spans="1:27" ht="12.7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row>
    <row r="356" spans="1:27" ht="12.75">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row>
    <row r="357" spans="1:27" ht="12.75">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row>
    <row r="358" spans="1:27" ht="12.75">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row>
    <row r="359" spans="1:27" ht="12.75">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row>
    <row r="360" spans="1:27" ht="12.75">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row>
    <row r="361" spans="1:27" ht="12.75">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row>
    <row r="362" spans="1:27" ht="12.75">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row>
    <row r="363" spans="1:27" ht="12.75">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row>
    <row r="364" spans="1:27" ht="12.75">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row>
    <row r="365" spans="1:27" ht="12.7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row>
    <row r="366" spans="1:27" ht="12.75">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row>
    <row r="367" spans="1:27" ht="12.75">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row>
    <row r="368" spans="1:27" ht="12.75">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row>
    <row r="369" spans="1:27" ht="12.75">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row>
    <row r="370" spans="1:27" ht="12.75">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row>
    <row r="371" spans="1:27" ht="12.75">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row>
    <row r="372" spans="1:27" ht="12.75">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row>
    <row r="373" spans="1:27" ht="12.75">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row>
    <row r="374" spans="1:27" ht="12.75">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row>
    <row r="375" spans="1:27" ht="12.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row>
    <row r="376" spans="1:27" ht="12.75">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row>
    <row r="377" spans="1:27" ht="12.75">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row>
    <row r="378" spans="1:27" ht="12.75">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row>
    <row r="379" spans="1:27" ht="12.75">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row>
    <row r="380" spans="1:27" ht="12.75">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row>
    <row r="381" spans="1:27" ht="12.75">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row>
    <row r="382" spans="1:27" ht="12.75">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row>
    <row r="383" spans="1:27" ht="12.75">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row>
    <row r="384" spans="1:27" ht="12.75">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row>
    <row r="385" spans="1:27" ht="12.7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row>
    <row r="386" spans="1:27" ht="12.75">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row>
    <row r="387" spans="1:27" ht="12.75">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row>
    <row r="388" spans="1:27" ht="12.75">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row>
    <row r="389" spans="1:27" ht="12.75">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row>
    <row r="390" spans="1:27" ht="12.75">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row>
    <row r="391" spans="1:27" ht="12.75">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row>
    <row r="392" spans="1:27" ht="12.75">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row>
    <row r="393" spans="1:27" ht="12.75">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row>
    <row r="394" spans="1:27" ht="12.75">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row>
    <row r="395" spans="1:27" ht="12.7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row>
    <row r="396" spans="1:27" ht="12.75">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row>
    <row r="397" spans="1:27" ht="12.75">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row>
    <row r="398" spans="1:27" ht="12.75">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row>
    <row r="399" spans="1:27" ht="12.75">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row>
    <row r="400" spans="1:27" ht="12.75">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row>
    <row r="401" spans="1:27" ht="12.75">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row>
    <row r="402" spans="1:27" ht="12.75">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row>
    <row r="403" spans="1:27" ht="12.75">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row>
    <row r="404" spans="1:27" ht="12.75">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row>
    <row r="405" spans="1:27" ht="12.7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row>
    <row r="406" spans="1:27" ht="12.75">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row>
    <row r="407" spans="1:27" ht="12.75">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row>
    <row r="408" spans="1:27" ht="12.75">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row>
    <row r="409" spans="1:27" ht="12.75">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row>
    <row r="410" spans="1:27" ht="12.75">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row>
    <row r="411" spans="1:27" ht="12.75">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row>
    <row r="412" spans="1:27" ht="12.75">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row>
    <row r="413" spans="1:27" ht="12.75">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row>
    <row r="414" spans="1:27" ht="12.75">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row>
    <row r="415" spans="1:27" ht="12.7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row>
    <row r="416" spans="1:27" ht="12.75">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row>
    <row r="417" spans="1:27" ht="12.75">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row>
    <row r="418" spans="1:27" ht="12.75">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row>
    <row r="419" spans="1:27" ht="12.75">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row>
    <row r="420" spans="1:27" ht="12.75">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row>
    <row r="421" spans="1:27" ht="12.75">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row>
    <row r="422" spans="1:27" ht="12.75">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row>
    <row r="423" spans="1:27" ht="12.75">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row>
    <row r="424" spans="1:27" ht="12.75">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row>
    <row r="425" spans="1:27" ht="12.7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row>
    <row r="426" spans="1:27" ht="12.75">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row>
    <row r="427" spans="1:27" ht="12.75">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row>
    <row r="428" spans="1:27" ht="12.75">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row>
    <row r="429" spans="1:27" ht="12.75">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row>
    <row r="430" spans="1:27" ht="12.75">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row>
    <row r="431" spans="1:27" ht="12.75">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row>
    <row r="432" spans="1:27" ht="12.75">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row>
    <row r="433" spans="1:27" ht="12.75">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row>
    <row r="434" spans="1:27" ht="12.75">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row>
    <row r="435" spans="1:27" ht="12.7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row>
    <row r="436" spans="1:27" ht="12.75">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row>
    <row r="437" spans="1:27" ht="12.75">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row>
    <row r="438" spans="1:27" ht="12.75">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row>
    <row r="439" spans="1:27" ht="12.75">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row>
    <row r="440" spans="1:27" ht="12.75">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row>
    <row r="441" spans="1:27" ht="12.75">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row>
    <row r="442" spans="1:27" ht="12.75">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row>
    <row r="443" spans="1:27" ht="12.75">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row>
    <row r="444" spans="1:27" ht="12.75">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row>
    <row r="445" spans="1:27" ht="12.7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row>
    <row r="446" spans="1:27" ht="12.75">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row>
    <row r="447" spans="1:27" ht="12.75">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row>
    <row r="448" spans="1:27" ht="12.75">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row>
    <row r="449" spans="1:27" ht="12.75">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row>
    <row r="450" spans="1:27" ht="12.75">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row>
    <row r="451" spans="1:27" ht="12.75">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row>
    <row r="452" spans="1:27" ht="12.75">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row>
    <row r="453" spans="1:27" ht="12.75">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row>
    <row r="454" spans="1:27" ht="12.75">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row>
    <row r="455" spans="1:27" ht="12.7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row>
    <row r="456" spans="1:27" ht="12.75">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row>
    <row r="457" spans="1:27" ht="12.75">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row>
    <row r="458" spans="1:27" ht="12.75">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row>
    <row r="459" spans="1:27" ht="12.75">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row>
    <row r="460" spans="1:27" ht="12.75">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row>
    <row r="461" spans="1:27" ht="12.75">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row>
    <row r="462" spans="1:27" ht="12.75">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row>
    <row r="463" spans="1:27" ht="12.75">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row>
    <row r="464" spans="1:27" ht="12.75">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row>
    <row r="465" spans="1:27" ht="12.7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row>
    <row r="466" spans="1:27" ht="12.75">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row>
    <row r="467" spans="1:27" ht="12.75">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row>
    <row r="468" spans="1:27" ht="12.75">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row>
    <row r="469" spans="1:27" ht="12.75">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row>
    <row r="470" spans="1:27" ht="12.75">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row>
    <row r="471" spans="1:27" ht="12.75">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row>
    <row r="472" spans="1:27" ht="12.75">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row>
    <row r="473" spans="1:27" ht="12.75">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row>
    <row r="474" spans="1:27" ht="12.75">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row>
    <row r="475" spans="1:27" ht="12.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row>
    <row r="476" spans="1:27" ht="12.75">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row>
    <row r="477" spans="1:27" ht="12.75">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row>
    <row r="478" spans="1:27" ht="12.75">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row>
    <row r="479" spans="1:27" ht="12.75">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row>
    <row r="480" spans="1:27" ht="12.75">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row>
    <row r="481" spans="1:27" ht="12.75">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row>
    <row r="482" spans="1:27" ht="12.75">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row>
    <row r="483" spans="1:27" ht="12.75">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row>
    <row r="484" spans="1:27" ht="12.75">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row>
    <row r="485" spans="1:27" ht="12.7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row>
    <row r="486" spans="1:27" ht="12.75">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row>
    <row r="487" spans="1:27" ht="12.75">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row>
    <row r="488" spans="1:27" ht="12.75">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row>
    <row r="489" spans="1:27" ht="12.75">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row>
    <row r="490" spans="1:27" ht="12.75">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row>
    <row r="491" spans="1:27" ht="12.75">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row>
    <row r="492" spans="1:27" ht="12.75">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row>
    <row r="493" spans="1:27" ht="12.75">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row>
    <row r="494" spans="1:27" ht="12.75">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row>
    <row r="495" spans="1:27" ht="12.7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row>
    <row r="496" spans="1:27" ht="12.75">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row>
    <row r="497" spans="1:27" ht="12.75">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row>
    <row r="498" spans="1:27" ht="12.75">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row>
    <row r="499" spans="1:27" ht="12.75">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row>
    <row r="500" spans="1:27" ht="12.75">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row>
    <row r="501" spans="1:27" ht="12.75">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row>
    <row r="502" spans="1:27" ht="12.75">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row>
    <row r="503" spans="1:27" ht="12.75">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row>
    <row r="504" spans="1:27" ht="12.75">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row>
    <row r="505" spans="1:27" ht="12.7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row>
    <row r="506" spans="1:27" ht="12.75">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row>
    <row r="507" spans="1:27" ht="12.75">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row>
    <row r="508" spans="1:27" ht="12.75">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row>
    <row r="509" spans="1:27" ht="12.75">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row>
    <row r="510" spans="1:27" ht="12.75">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row>
    <row r="511" spans="1:27" ht="12.75">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row>
    <row r="512" spans="1:27" ht="12.75">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row>
    <row r="513" spans="1:27" ht="12.75">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row>
    <row r="514" spans="1:27" ht="12.75">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row>
    <row r="515" spans="1:27" ht="12.7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row>
    <row r="516" spans="1:27" ht="12.75">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row>
    <row r="517" spans="1:27" ht="12.75">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row>
    <row r="518" spans="1:27" ht="12.75">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row>
    <row r="519" spans="1:27" ht="12.75">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row>
    <row r="520" spans="1:27" ht="12.75">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row>
    <row r="521" spans="1:27" ht="12.75">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row>
    <row r="522" spans="1:27" ht="12.75">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row>
    <row r="523" spans="1:27" ht="12.75">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row>
    <row r="524" spans="1:27" ht="12.75">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row>
    <row r="525" spans="1:27" ht="12.7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row>
    <row r="526" spans="1:27" ht="12.75">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row>
    <row r="527" spans="1:27" ht="12.75">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row>
    <row r="528" spans="1:27" ht="12.75">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row>
    <row r="529" spans="1:27" ht="12.75">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row>
    <row r="530" spans="1:27" ht="12.75">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row>
    <row r="531" spans="1:27" ht="12.75">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row>
    <row r="532" spans="1:27" ht="12.75">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row>
    <row r="533" spans="1:27" ht="12.75">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row>
    <row r="534" spans="1:27" ht="12.75">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row>
    <row r="535" spans="1:27" ht="12.7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row>
    <row r="536" spans="1:27" ht="12.75">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row>
    <row r="537" spans="1:27" ht="12.75">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row>
    <row r="538" spans="1:27" ht="12.75">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row>
    <row r="539" spans="1:27" ht="12.75">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row>
    <row r="540" spans="1:27" ht="12.75">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row>
    <row r="541" spans="1:27" ht="12.75">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row>
    <row r="542" spans="1:27" ht="12.75">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row>
    <row r="543" spans="1:27" ht="12.75">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row>
    <row r="544" spans="1:27" ht="12.75">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row>
    <row r="545" spans="1:27" ht="12.7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row>
    <row r="546" spans="1:27" ht="12.75">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row>
    <row r="547" spans="1:27" ht="12.75">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row>
    <row r="548" spans="1:27" ht="12.75">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row>
    <row r="549" spans="1:27" ht="12.75">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row>
    <row r="550" spans="1:27" ht="12.75">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row>
    <row r="551" spans="1:27" ht="12.75">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row>
    <row r="552" spans="1:27" ht="12.75">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row>
    <row r="553" spans="1:27" ht="12.75">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row>
    <row r="554" spans="1:27" ht="12.75">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row>
    <row r="555" spans="1:27" ht="12.7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row>
    <row r="556" spans="1:27" ht="12.75">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row>
    <row r="557" spans="1:27" ht="12.75">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row>
    <row r="558" spans="1:27" ht="12.75">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row>
    <row r="559" spans="1:27" ht="12.75">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row>
    <row r="560" spans="1:27" ht="12.75">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row>
    <row r="561" spans="1:27" ht="12.75">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row>
    <row r="562" spans="1:27" ht="12.75">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row>
    <row r="563" spans="1:27" ht="12.75">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row>
    <row r="564" spans="1:27" ht="12.75">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row>
    <row r="565" spans="1:27" ht="12.7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row>
    <row r="566" spans="1:27" ht="12.75">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row>
    <row r="567" spans="1:27" ht="12.75">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row>
    <row r="568" spans="1:27" ht="12.75">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row>
    <row r="569" spans="1:27" ht="12.75">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row>
    <row r="570" spans="1:27" ht="12.75">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row>
    <row r="571" spans="1:27" ht="12.75">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row>
    <row r="572" spans="1:27" ht="12.75">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row>
    <row r="573" spans="1:27" ht="12.75">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row>
    <row r="574" spans="1:27" ht="12.75">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row>
    <row r="575" spans="1:27" ht="12.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row>
    <row r="576" spans="1:27" ht="12.75">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row>
    <row r="577" spans="1:27" ht="12.75">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row>
    <row r="578" spans="1:27" ht="12.75">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row>
    <row r="579" spans="1:27" ht="12.75">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row>
    <row r="580" spans="1:27" ht="12.75">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row>
    <row r="581" spans="1:27" ht="12.75">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row>
    <row r="582" spans="1:27" ht="12.75">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row>
    <row r="583" spans="1:27" ht="12.75">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row>
    <row r="584" spans="1:27" ht="12.75">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row>
    <row r="585" spans="1:27" ht="12.7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row>
    <row r="586" spans="1:27" ht="12.75">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row>
    <row r="587" spans="1:27" ht="12.75">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row>
    <row r="588" spans="1:27" ht="12.75">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row>
    <row r="589" spans="1:27" ht="12.75">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row>
    <row r="590" spans="1:27" ht="12.75">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row>
    <row r="591" spans="1:27" ht="12.75">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row>
    <row r="592" spans="1:27" ht="12.75">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row>
    <row r="593" spans="1:27" ht="12.75">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row>
    <row r="594" spans="1:27" ht="12.75">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row>
    <row r="595" spans="1:27" ht="12.7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row>
    <row r="596" spans="1:27" ht="12.75">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row>
    <row r="597" spans="1:27" ht="12.75">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row>
    <row r="598" spans="1:27" ht="12.75">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row>
    <row r="599" spans="1:27" ht="12.75">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row>
    <row r="600" spans="1:27" ht="12.75">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row>
    <row r="601" spans="1:27" ht="12.75">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row>
    <row r="602" spans="1:27" ht="12.75">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row>
    <row r="603" spans="1:27" ht="12.75">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row>
    <row r="604" spans="1:27" ht="12.75">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row>
    <row r="605" spans="1:27" ht="12.7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row>
    <row r="606" spans="1:27" ht="12.75">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row>
    <row r="607" spans="1:27" ht="12.75">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row>
    <row r="608" spans="1:27" ht="12.75">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row>
    <row r="609" spans="1:27" ht="12.75">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row>
    <row r="610" spans="1:27" ht="12.75">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row>
    <row r="611" spans="1:27" ht="12.75">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row>
    <row r="612" spans="1:27" ht="12.75">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row>
    <row r="613" spans="1:27" ht="12.75">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row>
    <row r="614" spans="1:27" ht="12.75">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row>
    <row r="615" spans="1:27" ht="12.7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row>
    <row r="616" spans="1:27" ht="12.75">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row>
    <row r="617" spans="1:27" ht="12.75">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row>
    <row r="618" spans="1:27" ht="12.75">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row>
    <row r="619" spans="1:27" ht="12.75">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row>
    <row r="620" spans="1:27" ht="12.75">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row>
    <row r="621" spans="1:27" ht="12.75">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row>
    <row r="622" spans="1:27" ht="12.75">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row>
    <row r="623" spans="1:27" ht="12.75">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row>
    <row r="624" spans="1:27" ht="12.75">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row>
    <row r="625" spans="1:27" ht="12.7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row>
    <row r="626" spans="1:27" ht="12.75">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row>
    <row r="627" spans="1:27" ht="12.75">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row>
    <row r="628" spans="1:27" ht="12.75">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row>
    <row r="629" spans="1:27" ht="12.75">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row>
    <row r="630" spans="1:27" ht="12.75">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row>
    <row r="631" spans="1:27" ht="12.75">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row>
    <row r="632" spans="1:27" ht="12.75">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row>
    <row r="633" spans="1:27" ht="12.75">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row>
    <row r="634" spans="1:27" ht="12.75">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row>
    <row r="635" spans="1:27" ht="12.7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row>
    <row r="636" spans="1:27" ht="12.75">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row>
    <row r="637" spans="1:27" ht="12.75">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row>
    <row r="638" spans="1:27" ht="12.75">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row>
    <row r="639" spans="1:27" ht="12.75">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row>
    <row r="640" spans="1:27" ht="12.75">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row>
    <row r="641" spans="1:27" ht="12.75">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row>
    <row r="642" spans="1:27" ht="12.75">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row>
    <row r="643" spans="1:27" ht="12.75">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row>
    <row r="644" spans="1:27" ht="12.75">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row>
    <row r="645" spans="1:27" ht="12.7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row>
    <row r="646" spans="1:27" ht="12.75">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row>
    <row r="647" spans="1:27" ht="12.75">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row>
    <row r="648" spans="1:27" ht="12.75">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row>
    <row r="649" spans="1:27" ht="12.75">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row>
    <row r="650" spans="1:27" ht="12.75">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row>
    <row r="651" spans="1:27" ht="12.75">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row>
    <row r="652" spans="1:27" ht="12.75">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row>
    <row r="653" spans="1:27" ht="12.75">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row>
    <row r="654" spans="1:27" ht="12.75">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row>
    <row r="655" spans="1:27" ht="12.7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row>
    <row r="656" spans="1:27" ht="12.75">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row>
    <row r="657" spans="1:27" ht="12.75">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row>
    <row r="658" spans="1:27" ht="12.75">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row>
    <row r="659" spans="1:27" ht="12.75">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row>
    <row r="660" spans="1:27" ht="12.75">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row>
    <row r="661" spans="1:27" ht="12.75">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row>
    <row r="662" spans="1:27" ht="12.75">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row>
    <row r="663" spans="1:27" ht="12.75">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row>
    <row r="664" spans="1:27" ht="12.75">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row>
    <row r="665" spans="1:27" ht="12.7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row>
    <row r="666" spans="1:27" ht="12.75">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row>
    <row r="667" spans="1:27" ht="12.75">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row>
    <row r="668" spans="1:27" ht="12.75">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row>
    <row r="669" spans="1:27" ht="12.75">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row>
    <row r="670" spans="1:27" ht="12.75">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row>
    <row r="671" spans="1:27" ht="12.75">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row>
    <row r="672" spans="1:27" ht="12.75">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row>
    <row r="673" spans="1:27" ht="12.75">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row>
    <row r="674" spans="1:27" ht="12.75">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row>
    <row r="675" spans="1:27" ht="12.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row>
    <row r="676" spans="1:27" ht="12.75">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row>
    <row r="677" spans="1:27" ht="12.75">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row>
    <row r="678" spans="1:27" ht="12.75">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row>
    <row r="679" spans="1:27" ht="12.75">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row>
    <row r="680" spans="1:27" ht="12.75">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row>
    <row r="681" spans="1:27" ht="12.75">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row>
    <row r="682" spans="1:27" ht="12.75">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row>
    <row r="683" spans="1:27" ht="12.75">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row>
    <row r="684" spans="1:27" ht="12.75">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row>
    <row r="685" spans="1:27" ht="12.7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row>
    <row r="686" spans="1:27" ht="12.75">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row>
    <row r="687" spans="1:27" ht="12.75">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row>
    <row r="688" spans="1:27" ht="12.75">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row>
    <row r="689" spans="1:27" ht="12.75">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row>
    <row r="690" spans="1:27" ht="12.75">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row>
    <row r="691" spans="1:27" ht="12.75">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row>
    <row r="692" spans="1:27" ht="12.75">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row>
    <row r="693" spans="1:27" ht="12.75">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row>
    <row r="694" spans="1:27" ht="12.75">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row>
    <row r="695" spans="1:27" ht="12.7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row>
    <row r="696" spans="1:27" ht="12.75">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row>
    <row r="697" spans="1:27" ht="12.75">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row>
    <row r="698" spans="1:27" ht="12.75">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row>
    <row r="699" spans="1:27" ht="12.75">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row>
    <row r="700" spans="1:27" ht="12.75">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row>
    <row r="701" spans="1:27" ht="12.75">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row>
    <row r="702" spans="1:27" ht="12.75">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row>
    <row r="703" spans="1:27" ht="12.75">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row>
    <row r="704" spans="1:27" ht="12.75">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row>
    <row r="705" spans="1:27" ht="12.7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row>
    <row r="706" spans="1:27" ht="12.75">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row>
    <row r="707" spans="1:27" ht="12.75">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row>
    <row r="708" spans="1:27" ht="12.75">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row>
    <row r="709" spans="1:27" ht="12.75">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row>
    <row r="710" spans="1:27" ht="12.75">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row>
    <row r="711" spans="1:27" ht="12.75">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row>
    <row r="712" spans="1:27" ht="12.75">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row>
    <row r="713" spans="1:27" ht="12.75">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row>
    <row r="714" spans="1:27" ht="12.75">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row>
    <row r="715" spans="1:27" ht="12.7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row>
    <row r="716" spans="1:27" ht="12.75">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row>
    <row r="717" spans="1:27" ht="12.75">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row>
    <row r="718" spans="1:27" ht="12.75">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row>
    <row r="719" spans="1:27" ht="12.75">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row>
    <row r="720" spans="1:27" ht="12.75">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row>
    <row r="721" spans="1:27" ht="12.75">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row>
    <row r="722" spans="1:27" ht="12.75">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row>
    <row r="723" spans="1:27" ht="12.75">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row>
    <row r="724" spans="1:27" ht="12.75">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row>
    <row r="725" spans="1:27" ht="12.7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row>
    <row r="726" spans="1:27" ht="12.75">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row>
    <row r="727" spans="1:27" ht="12.75">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row>
    <row r="728" spans="1:27" ht="12.75">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row>
    <row r="729" spans="1:27" ht="12.75">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row>
    <row r="730" spans="1:27" ht="12.75">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row>
    <row r="731" spans="1:27" ht="12.75">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row>
    <row r="732" spans="1:27" ht="12.75">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row>
    <row r="733" spans="1:27" ht="12.75">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row>
    <row r="734" spans="1:27" ht="12.75">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row>
    <row r="735" spans="1:27" ht="12.7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row>
    <row r="736" spans="1:27" ht="12.75">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row>
    <row r="737" spans="1:27" ht="12.75">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row>
    <row r="738" spans="1:27" ht="12.75">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row>
    <row r="739" spans="1:27" ht="12.75">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row>
    <row r="740" spans="1:27" ht="12.75">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row>
    <row r="741" spans="1:27" ht="12.75">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row>
    <row r="742" spans="1:27" ht="12.75">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row>
    <row r="743" spans="1:27" ht="12.75">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row>
    <row r="744" spans="1:27" ht="12.75">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row>
    <row r="745" spans="1:27" ht="12.7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row>
    <row r="746" spans="1:27" ht="12.75">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row>
    <row r="747" spans="1:27" ht="12.75">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row>
    <row r="748" spans="1:27" ht="12.75">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row>
    <row r="749" spans="1:27" ht="12.75">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row>
    <row r="750" spans="1:27" ht="12.75">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row>
    <row r="751" spans="1:27" ht="12.75">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row>
    <row r="752" spans="1:27" ht="12.75">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row>
    <row r="753" spans="1:27" ht="12.75">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row>
    <row r="754" spans="1:27" ht="12.75">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row>
    <row r="755" spans="1:27" ht="12.7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row>
    <row r="756" spans="1:27" ht="12.75">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row>
    <row r="757" spans="1:27" ht="12.75">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row>
    <row r="758" spans="1:27" ht="12.75">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row>
    <row r="759" spans="1:27" ht="12.75">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row>
    <row r="760" spans="1:27" ht="12.75">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row>
    <row r="761" spans="1:27" ht="12.75">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row>
    <row r="762" spans="1:27" ht="12.75">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row>
    <row r="763" spans="1:27" ht="12.75">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row>
    <row r="764" spans="1:27" ht="12.75">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row>
    <row r="765" spans="1:27" ht="12.7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row>
    <row r="766" spans="1:27" ht="12.75">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row>
    <row r="767" spans="1:27" ht="12.75">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row>
    <row r="768" spans="1:27" ht="12.75">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row>
    <row r="769" spans="1:27" ht="12.75">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row>
    <row r="770" spans="1:27" ht="12.75">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row>
    <row r="771" spans="1:27" ht="12.75">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row>
    <row r="772" spans="1:27" ht="12.75">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row>
    <row r="773" spans="1:27" ht="12.75">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row>
    <row r="774" spans="1:27" ht="12.75">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row>
    <row r="775" spans="1:27" ht="12.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row>
    <row r="776" spans="1:27" ht="12.75">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row>
    <row r="777" spans="1:27" ht="12.75">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row>
    <row r="778" spans="1:27" ht="12.75">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row>
    <row r="779" spans="1:27" ht="12.75">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row>
    <row r="780" spans="1:27" ht="12.75">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row>
    <row r="781" spans="1:27" ht="12.75">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row>
    <row r="782" spans="1:27" ht="12.75">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row>
    <row r="783" spans="1:27" ht="12.75">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row>
    <row r="784" spans="1:27" ht="12.75">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row>
    <row r="785" spans="1:27" ht="12.7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row>
    <row r="786" spans="1:27" ht="12.75">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row>
    <row r="787" spans="1:27" ht="12.75">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row>
    <row r="788" spans="1:27" ht="12.75">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row>
    <row r="789" spans="1:27" ht="12.75">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row>
    <row r="790" spans="1:27" ht="12.75">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row>
    <row r="791" spans="1:27" ht="12.75">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row>
    <row r="792" spans="1:27" ht="12.75">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row>
    <row r="793" spans="1:27" ht="12.75">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row>
    <row r="794" spans="1:27" ht="12.75">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row>
    <row r="795" spans="1:27" ht="12.7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row>
    <row r="796" spans="1:27" ht="12.75">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row>
    <row r="797" spans="1:27" ht="12.75">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row>
    <row r="798" spans="1:27" ht="12.75">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row>
    <row r="799" spans="1:27" ht="12.75">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row>
    <row r="800" spans="1:27" ht="12.75">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row>
    <row r="801" spans="1:27" ht="12.75">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row>
    <row r="802" spans="1:27" ht="12.75">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row>
    <row r="803" spans="1:27" ht="12.75">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row>
    <row r="804" spans="1:27" ht="12.75">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row>
    <row r="805" spans="1:27" ht="12.7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row>
    <row r="806" spans="1:27" ht="12.75">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row>
    <row r="807" spans="1:27" ht="12.75">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row>
    <row r="808" spans="1:27" ht="12.75">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row>
    <row r="809" spans="1:27" ht="12.75">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row>
    <row r="810" spans="1:27" ht="12.75">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row>
    <row r="811" spans="1:27" ht="12.75">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row>
    <row r="812" spans="1:27" ht="12.75">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row>
    <row r="813" spans="1:27" ht="12.75">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row>
    <row r="814" spans="1:27" ht="12.75">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row>
    <row r="815" spans="1:27" ht="12.7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row>
    <row r="816" spans="1:27" ht="12.75">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row>
    <row r="817" spans="1:27" ht="12.75">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row>
    <row r="818" spans="1:27" ht="12.75">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row>
    <row r="819" spans="1:27" ht="12.75">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row>
    <row r="820" spans="1:27" ht="12.75">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row>
    <row r="821" spans="1:27" ht="12.75">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row>
    <row r="822" spans="1:27" ht="12.75">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row>
    <row r="823" spans="1:27" ht="12.75">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row>
    <row r="824" spans="1:27" ht="12.75">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row>
    <row r="825" spans="1:27" ht="12.7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row>
    <row r="826" spans="1:27" ht="12.75">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row>
    <row r="827" spans="1:27" ht="12.75">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row>
    <row r="828" spans="1:27" ht="12.75">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row>
    <row r="829" spans="1:27" ht="12.75">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row>
    <row r="830" spans="1:27" ht="12.75">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row>
    <row r="831" spans="1:27" ht="12.75">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row>
    <row r="832" spans="1:27" ht="12.75">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row>
    <row r="833" spans="1:27" ht="12.75">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row>
    <row r="834" spans="1:27" ht="12.75">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row>
    <row r="835" spans="1:27" ht="12.7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row>
    <row r="836" spans="1:27" ht="12.75">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row>
    <row r="837" spans="1:27" ht="12.75">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row>
    <row r="838" spans="1:27" ht="12.75">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row>
    <row r="839" spans="1:27" ht="12.75">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row>
    <row r="840" spans="1:27" ht="12.75">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row>
    <row r="841" spans="1:27" ht="12.75">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row>
    <row r="842" spans="1:27" ht="12.75">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row>
    <row r="843" spans="1:27" ht="12.75">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row>
    <row r="844" spans="1:27" ht="12.75">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row>
    <row r="845" spans="1:27" ht="12.7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row>
    <row r="846" spans="1:27" ht="12.75">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row>
    <row r="847" spans="1:27" ht="12.75">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row>
    <row r="848" spans="1:27" ht="12.75">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row>
    <row r="849" spans="1:27" ht="12.75">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row>
    <row r="850" spans="1:27" ht="12.75">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row>
    <row r="851" spans="1:27" ht="12.75">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row>
    <row r="852" spans="1:27" ht="12.75">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row>
    <row r="853" spans="1:27" ht="12.75">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row>
    <row r="854" spans="1:27" ht="12.75">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row>
    <row r="855" spans="1:27" ht="12.7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row>
    <row r="856" spans="1:27" ht="12.75">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row>
    <row r="857" spans="1:27" ht="12.75">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row>
    <row r="858" spans="1:27" ht="12.75">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row>
    <row r="859" spans="1:27" ht="12.75">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row>
    <row r="860" spans="1:27" ht="12.75">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row>
    <row r="861" spans="1:27" ht="12.75">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row>
    <row r="862" spans="1:27" ht="12.75">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row>
    <row r="863" spans="1:27" ht="12.75">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row>
    <row r="864" spans="1:27" ht="12.75">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row>
    <row r="865" spans="1:27" ht="12.7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row>
    <row r="866" spans="1:27" ht="12.75">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row>
    <row r="867" spans="1:27" ht="12.75">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row>
    <row r="868" spans="1:27" ht="12.75">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row>
    <row r="869" spans="1:27" ht="12.75">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row>
    <row r="870" spans="1:27" ht="12.75">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row>
    <row r="871" spans="1:27" ht="12.75">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row>
    <row r="872" spans="1:27" ht="12.75">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row>
    <row r="873" spans="1:27" ht="12.75">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row>
    <row r="874" spans="1:27" ht="12.75">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row>
    <row r="875" spans="1:27" ht="12.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row>
    <row r="876" spans="1:27" ht="12.75">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row>
    <row r="877" spans="1:27" ht="12.75">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row>
    <row r="878" spans="1:27" ht="12.75">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row>
    <row r="879" spans="1:27" ht="12.75">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row>
    <row r="880" spans="1:27" ht="12.75">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row>
    <row r="881" spans="1:27" ht="12.75">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row>
    <row r="882" spans="1:27" ht="12.75">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row>
    <row r="883" spans="1:27" ht="12.75">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row>
    <row r="884" spans="1:27" ht="12.75">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row>
    <row r="885" spans="1:27" ht="12.7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row>
    <row r="886" spans="1:27" ht="12.75">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row>
    <row r="887" spans="1:27" ht="12.75">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row>
    <row r="888" spans="1:27" ht="12.75">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row>
    <row r="889" spans="1:27" ht="12.75">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row>
    <row r="890" spans="1:27" ht="12.75">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row>
    <row r="891" spans="1:27" ht="12.75">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row>
    <row r="892" spans="1:27" ht="12.75">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row>
    <row r="893" spans="1:27" ht="12.75">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row>
    <row r="894" spans="1:27" ht="12.75">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row>
    <row r="895" spans="1:27" ht="12.7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row>
    <row r="896" spans="1:27" ht="12.75">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row>
    <row r="897" spans="1:27" ht="12.75">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row>
    <row r="898" spans="1:27" ht="12.75">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row>
    <row r="899" spans="1:27" ht="12.75">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row>
    <row r="900" spans="1:27" ht="12.75">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row>
    <row r="901" spans="1:27" ht="12.75">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row>
    <row r="902" spans="1:27" ht="12.75">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row>
    <row r="903" spans="1:27" ht="12.75">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row>
    <row r="904" spans="1:27" ht="12.75">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row>
    <row r="905" spans="1:27" ht="12.7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row>
    <row r="906" spans="1:27" ht="12.75">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row>
    <row r="907" spans="1:27" ht="12.75">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row>
    <row r="908" spans="1:27" ht="12.75">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row>
    <row r="909" spans="1:27" ht="12.75">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row>
    <row r="910" spans="1:27" ht="12.75">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row>
    <row r="911" spans="1:27" ht="12.75">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row>
    <row r="912" spans="1:27" ht="12.75">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row>
    <row r="913" spans="1:27" ht="12.75">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row>
    <row r="914" spans="1:27" ht="12.75">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row>
    <row r="915" spans="1:27" ht="12.7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row>
    <row r="916" spans="1:27" ht="12.75">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row>
    <row r="917" spans="1:27" ht="12.75">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row>
    <row r="918" spans="1:27" ht="12.75">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row>
    <row r="919" spans="1:27" ht="12.75">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row>
    <row r="920" spans="1:27" ht="12.75">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row>
    <row r="921" spans="1:27" ht="12.75">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row>
    <row r="922" spans="1:27" ht="12.75">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row>
    <row r="923" spans="1:27" ht="12.75">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row>
    <row r="924" spans="1:27" ht="12.75">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row>
    <row r="925" spans="1:27" ht="12.7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row>
    <row r="926" spans="1:27" ht="12.75">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row>
    <row r="927" spans="1:27" ht="12.75">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row>
    <row r="928" spans="1:27" ht="12.75">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row>
    <row r="929" spans="1:27" ht="12.75">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row>
    <row r="930" spans="1:27" ht="12.75">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row>
    <row r="931" spans="1:27" ht="12.75">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row>
    <row r="932" spans="1:27" ht="12.75">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row>
    <row r="933" spans="1:27" ht="12.75">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row>
    <row r="934" spans="1:27" ht="12.75">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row>
    <row r="935" spans="1:27" ht="12.7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row>
    <row r="936" spans="1:27" ht="12.75">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row>
    <row r="937" spans="1:27" ht="12.75">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row>
    <row r="938" spans="1:27" ht="12.75">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row>
    <row r="939" spans="1:27" ht="12.75">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row>
    <row r="940" spans="1:27" ht="12.75">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row>
    <row r="941" spans="1:27" ht="12.75">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row>
    <row r="942" spans="1:27" ht="12.75">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row>
    <row r="943" spans="1:27" ht="12.75">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row>
    <row r="944" spans="1:27" ht="12.75">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row>
    <row r="945" spans="1:27" ht="12.7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row>
    <row r="946" spans="1:27" ht="12.75">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row>
    <row r="947" spans="1:27" ht="12.75">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row>
    <row r="948" spans="1:27" ht="12.75">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row>
    <row r="949" spans="1:27" ht="12.75">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row>
    <row r="950" spans="1:27" ht="12.75">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row>
    <row r="951" spans="1:27" ht="12.75">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row>
    <row r="952" spans="1:27" ht="12.75">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row>
    <row r="953" spans="1:27" ht="12.75">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row>
    <row r="954" spans="1:27" ht="12.75">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row>
    <row r="955" spans="1:27" ht="12.7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row>
    <row r="956" spans="1:27" ht="12.75">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row>
    <row r="957" spans="1:27" ht="12.75">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row>
    <row r="958" spans="1:27" ht="12.75">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row>
    <row r="959" spans="1:27" ht="12.75">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row>
    <row r="960" spans="1:27" ht="12.75">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row>
    <row r="961" spans="1:27" ht="12.75">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row>
    <row r="962" spans="1:27" ht="12.75">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row>
    <row r="963" spans="1:27" ht="12.75">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row>
    <row r="964" spans="1:27" ht="12.75">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row>
    <row r="965" spans="1:27" ht="12.7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row>
    <row r="966" spans="1:27" ht="12.75">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row>
    <row r="967" spans="1:27" ht="12.75">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row>
    <row r="968" spans="1:27" ht="12.75">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row>
    <row r="969" spans="1:27" ht="12.75">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row>
    <row r="970" spans="1:27" ht="12.75">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row>
    <row r="971" spans="1:27" ht="12.75">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row>
    <row r="972" spans="1:27" ht="12.75">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row>
    <row r="973" spans="1:27" ht="12.75">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row>
    <row r="974" spans="1:27" ht="12.75">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row>
    <row r="975" spans="1:27" ht="12.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row>
    <row r="976" spans="1:27" ht="12.75">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row>
    <row r="977" spans="1:27" ht="12.75">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row>
    <row r="978" spans="1:27" ht="12.75">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row>
    <row r="979" spans="1:27" ht="12.75">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row>
    <row r="980" spans="1:27" ht="12.75">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row>
    <row r="981" spans="1:27" ht="12.75">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row>
    <row r="982" spans="1:27" ht="12.75">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row>
    <row r="983" spans="1:27" ht="12.75">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row>
    <row r="984" spans="1:27" ht="12.75">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row>
    <row r="985" spans="1:27" ht="12.7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row>
    <row r="986" spans="1:27" ht="12.75">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row>
    <row r="987" spans="1:27" ht="12.75">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row>
    <row r="988" spans="1:27" ht="12.75">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row>
    <row r="989" spans="1:27" ht="12.75">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row>
    <row r="990" spans="1:27" ht="12.75">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row>
    <row r="991" spans="1:27" ht="12.75">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row>
    <row r="992" spans="1:27" ht="12.75">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row>
    <row r="993" spans="1:27" ht="12.75">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row>
    <row r="994" spans="1:27" ht="12.75">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row>
    <row r="995" spans="1:27" ht="12.7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row>
    <row r="996" spans="1:27" ht="12.75">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row>
    <row r="997" spans="1:27" ht="12.75">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row>
    <row r="998" spans="1:27" ht="12.75">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row>
    <row r="999" spans="1:27" ht="12.75">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row>
    <row r="1000" spans="1:27" ht="12.75">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row>
    <row r="1001" spans="1:27" ht="12.75">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c r="AA1001" s="30"/>
    </row>
    <row r="1002" spans="1:27" ht="12.75">
      <c r="A1002" s="30"/>
      <c r="B1002" s="30"/>
      <c r="C1002" s="30"/>
      <c r="D1002" s="30"/>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c r="AA1002" s="30"/>
    </row>
    <row r="1003" spans="1:27" ht="12.75">
      <c r="A1003" s="30"/>
      <c r="B1003" s="30"/>
      <c r="C1003" s="30"/>
      <c r="D1003" s="30"/>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c r="AA1003" s="30"/>
    </row>
    <row r="1004" spans="1:27" ht="12.75">
      <c r="A1004" s="30"/>
      <c r="B1004" s="30"/>
      <c r="C1004" s="30"/>
      <c r="D1004" s="30"/>
      <c r="E1004" s="30"/>
      <c r="F1004" s="30"/>
      <c r="G1004" s="30"/>
      <c r="H1004" s="30"/>
      <c r="I1004" s="30"/>
      <c r="J1004" s="30"/>
      <c r="K1004" s="30"/>
      <c r="L1004" s="30"/>
      <c r="M1004" s="30"/>
      <c r="N1004" s="30"/>
      <c r="O1004" s="30"/>
      <c r="P1004" s="30"/>
      <c r="Q1004" s="30"/>
      <c r="R1004" s="30"/>
      <c r="S1004" s="30"/>
      <c r="T1004" s="30"/>
      <c r="U1004" s="30"/>
      <c r="V1004" s="30"/>
      <c r="W1004" s="30"/>
      <c r="X1004" s="30"/>
      <c r="Y1004" s="30"/>
      <c r="Z1004" s="30"/>
      <c r="AA1004" s="30"/>
    </row>
  </sheetData>
  <mergeCells count="16">
    <mergeCell ref="C31:E31"/>
    <mergeCell ref="L31:N31"/>
    <mergeCell ref="I31:K31"/>
    <mergeCell ref="C14:E14"/>
    <mergeCell ref="F14:H14"/>
    <mergeCell ref="I14:K14"/>
    <mergeCell ref="L14:N14"/>
    <mergeCell ref="F31:H31"/>
    <mergeCell ref="L36:N36"/>
    <mergeCell ref="L35:N35"/>
    <mergeCell ref="F36:H36"/>
    <mergeCell ref="F35:H35"/>
    <mergeCell ref="C36:E36"/>
    <mergeCell ref="C35:E35"/>
    <mergeCell ref="I36:K36"/>
    <mergeCell ref="I35:K35"/>
  </mergeCells>
  <conditionalFormatting sqref="A11">
    <cfRule type="notContainsBlanks" dxfId="0" priority="1">
      <formula>LEN(TRIM(A11))&gt;0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
  <sheetViews>
    <sheetView workbookViewId="0"/>
  </sheetViews>
  <sheetFormatPr defaultColWidth="14.42578125" defaultRowHeight="15.75" customHeight="1"/>
  <cols>
    <col min="4" max="4" width="18.42578125" customWidth="1"/>
    <col min="5" max="5" width="15.5703125" customWidth="1"/>
    <col min="8" max="8" width="18.28515625" customWidth="1"/>
  </cols>
  <sheetData>
    <row r="1" spans="1:18" ht="15.75" customHeight="1">
      <c r="A1" s="1" t="s">
        <v>0</v>
      </c>
      <c r="B1" s="1" t="s">
        <v>1</v>
      </c>
      <c r="C1" s="1" t="s">
        <v>97</v>
      </c>
      <c r="D1" s="1" t="s">
        <v>2</v>
      </c>
      <c r="E1" s="1" t="s">
        <v>3</v>
      </c>
      <c r="H1" s="1" t="s">
        <v>6</v>
      </c>
      <c r="I1" s="1" t="s">
        <v>7</v>
      </c>
      <c r="J1" s="1" t="s">
        <v>8</v>
      </c>
      <c r="K1" s="1" t="s">
        <v>9</v>
      </c>
      <c r="L1" s="1" t="s">
        <v>10</v>
      </c>
      <c r="M1" s="2" t="s">
        <v>11</v>
      </c>
      <c r="O1" s="1" t="s">
        <v>13</v>
      </c>
      <c r="P1" s="1" t="s">
        <v>14</v>
      </c>
      <c r="R1" s="1" t="s">
        <v>15</v>
      </c>
    </row>
    <row r="2" spans="1:18" ht="15.75" customHeight="1">
      <c r="E2" s="1"/>
      <c r="G2" s="1" t="s">
        <v>16</v>
      </c>
      <c r="R2" s="1">
        <v>340</v>
      </c>
    </row>
    <row r="3" spans="1:18" ht="15.75" customHeight="1">
      <c r="A3" s="1">
        <v>1</v>
      </c>
      <c r="B3" s="1" t="s">
        <v>17</v>
      </c>
      <c r="C3" s="1">
        <v>1</v>
      </c>
      <c r="D3" s="1">
        <v>4</v>
      </c>
      <c r="E3" s="1" t="s">
        <v>17</v>
      </c>
      <c r="G3" s="1" t="s">
        <v>17</v>
      </c>
      <c r="H3" s="1">
        <v>15171</v>
      </c>
      <c r="J3" s="1">
        <v>421</v>
      </c>
      <c r="K3" s="1">
        <v>1200</v>
      </c>
      <c r="L3" s="1">
        <v>134</v>
      </c>
      <c r="M3">
        <f t="shared" ref="M3:M22" si="0">$R$2/J3*K3</f>
        <v>969.12114014251779</v>
      </c>
      <c r="N3" s="1"/>
    </row>
    <row r="4" spans="1:18" ht="15.75" customHeight="1">
      <c r="A4" s="1">
        <f t="shared" ref="A4:A5" si="1">A3+1</f>
        <v>2</v>
      </c>
      <c r="B4" s="1" t="s">
        <v>18</v>
      </c>
      <c r="C4" s="1">
        <v>1</v>
      </c>
      <c r="D4" s="1">
        <v>4</v>
      </c>
      <c r="E4" s="1" t="s">
        <v>18</v>
      </c>
      <c r="G4" s="1" t="s">
        <v>18</v>
      </c>
      <c r="H4" s="1">
        <v>14573</v>
      </c>
      <c r="J4" s="1">
        <v>414</v>
      </c>
      <c r="K4" s="1">
        <v>1160</v>
      </c>
      <c r="L4" s="1">
        <v>118</v>
      </c>
      <c r="M4">
        <f t="shared" si="0"/>
        <v>952.6570048309178</v>
      </c>
      <c r="P4" s="1"/>
    </row>
    <row r="5" spans="1:18" ht="15.75" customHeight="1">
      <c r="A5" s="1">
        <f t="shared" si="1"/>
        <v>3</v>
      </c>
      <c r="B5" s="1" t="s">
        <v>19</v>
      </c>
      <c r="C5" s="1">
        <v>1</v>
      </c>
      <c r="D5" s="1">
        <v>4</v>
      </c>
      <c r="E5" s="1" t="s">
        <v>19</v>
      </c>
      <c r="G5" s="1" t="s">
        <v>19</v>
      </c>
      <c r="H5" s="1">
        <v>14315</v>
      </c>
      <c r="I5" s="1">
        <v>13</v>
      </c>
      <c r="J5" s="1">
        <v>440</v>
      </c>
      <c r="K5" s="1">
        <v>1044</v>
      </c>
      <c r="L5" s="1">
        <v>163</v>
      </c>
      <c r="M5">
        <f t="shared" si="0"/>
        <v>806.72727272727275</v>
      </c>
    </row>
    <row r="6" spans="1:18" ht="15.75" customHeight="1">
      <c r="A6" s="1">
        <v>4</v>
      </c>
      <c r="B6" s="1" t="s">
        <v>20</v>
      </c>
      <c r="C6" s="1">
        <v>1</v>
      </c>
      <c r="D6" s="1">
        <v>4</v>
      </c>
      <c r="E6" s="1" t="s">
        <v>35</v>
      </c>
      <c r="G6" s="1" t="s">
        <v>20</v>
      </c>
      <c r="H6" s="1">
        <v>14560</v>
      </c>
      <c r="J6" s="1">
        <v>418</v>
      </c>
      <c r="K6" s="1">
        <v>827</v>
      </c>
      <c r="L6" s="1">
        <v>215</v>
      </c>
      <c r="M6">
        <f t="shared" si="0"/>
        <v>672.67942583732065</v>
      </c>
      <c r="N6" s="1"/>
      <c r="P6" s="1"/>
    </row>
    <row r="7" spans="1:18" ht="15.75" customHeight="1">
      <c r="A7" s="1">
        <f t="shared" ref="A7:A22" si="2">A6+1</f>
        <v>5</v>
      </c>
      <c r="B7" s="1" t="s">
        <v>21</v>
      </c>
      <c r="C7" s="1">
        <v>2</v>
      </c>
      <c r="D7" s="1">
        <v>4</v>
      </c>
      <c r="E7" s="1" t="s">
        <v>20</v>
      </c>
      <c r="G7" s="1" t="s">
        <v>21</v>
      </c>
      <c r="H7" s="1">
        <v>13353</v>
      </c>
      <c r="J7" s="1">
        <v>396</v>
      </c>
      <c r="K7" s="1">
        <v>1026</v>
      </c>
      <c r="L7" s="1">
        <v>130</v>
      </c>
      <c r="M7">
        <f t="shared" si="0"/>
        <v>880.90909090909088</v>
      </c>
    </row>
    <row r="8" spans="1:18" ht="15.75" customHeight="1">
      <c r="A8" s="1">
        <f t="shared" si="2"/>
        <v>6</v>
      </c>
      <c r="B8" s="1" t="s">
        <v>22</v>
      </c>
      <c r="C8" s="1">
        <v>2</v>
      </c>
      <c r="D8" s="1">
        <v>4</v>
      </c>
      <c r="E8" s="1" t="s">
        <v>21</v>
      </c>
      <c r="G8" s="1" t="s">
        <v>22</v>
      </c>
      <c r="H8" s="1">
        <v>13757</v>
      </c>
      <c r="I8" s="1">
        <v>17</v>
      </c>
      <c r="J8" s="1">
        <v>445</v>
      </c>
      <c r="K8" s="1">
        <v>910</v>
      </c>
      <c r="L8" s="1">
        <v>162</v>
      </c>
      <c r="M8">
        <f t="shared" si="0"/>
        <v>695.28089887640442</v>
      </c>
    </row>
    <row r="9" spans="1:18" ht="15.75" customHeight="1">
      <c r="A9" s="1">
        <f t="shared" si="2"/>
        <v>7</v>
      </c>
      <c r="B9" s="1" t="s">
        <v>23</v>
      </c>
      <c r="C9" s="1">
        <v>2</v>
      </c>
      <c r="D9" s="1">
        <v>4</v>
      </c>
      <c r="E9" s="1" t="s">
        <v>22</v>
      </c>
      <c r="G9" s="1" t="s">
        <v>23</v>
      </c>
      <c r="H9" s="1">
        <v>13498</v>
      </c>
      <c r="I9" s="1">
        <v>3</v>
      </c>
      <c r="J9" s="1">
        <v>390</v>
      </c>
      <c r="K9" s="1">
        <v>917</v>
      </c>
      <c r="L9" s="1">
        <v>167</v>
      </c>
      <c r="M9">
        <f t="shared" si="0"/>
        <v>799.43589743589746</v>
      </c>
      <c r="N9" s="1"/>
    </row>
    <row r="10" spans="1:18" ht="15.75" customHeight="1">
      <c r="A10" s="1">
        <f t="shared" si="2"/>
        <v>8</v>
      </c>
      <c r="B10" s="1" t="s">
        <v>24</v>
      </c>
      <c r="C10" s="1">
        <v>2</v>
      </c>
      <c r="D10" s="1">
        <v>4</v>
      </c>
      <c r="E10" s="1" t="s">
        <v>37</v>
      </c>
      <c r="G10" s="1" t="s">
        <v>24</v>
      </c>
      <c r="H10" s="1">
        <v>12897</v>
      </c>
      <c r="I10" s="1">
        <v>28</v>
      </c>
      <c r="J10" s="1">
        <v>458</v>
      </c>
      <c r="K10" s="1">
        <v>840</v>
      </c>
      <c r="L10" s="1">
        <v>164</v>
      </c>
      <c r="M10">
        <f t="shared" si="0"/>
        <v>623.58078602620083</v>
      </c>
    </row>
    <row r="11" spans="1:18" ht="15.75" customHeight="1">
      <c r="A11" s="1">
        <f t="shared" si="2"/>
        <v>9</v>
      </c>
      <c r="B11" s="1" t="s">
        <v>25</v>
      </c>
      <c r="C11" s="1">
        <v>3</v>
      </c>
      <c r="D11" s="1">
        <v>4</v>
      </c>
      <c r="E11" s="1" t="s">
        <v>23</v>
      </c>
      <c r="G11" s="1" t="s">
        <v>25</v>
      </c>
      <c r="H11" s="1">
        <v>12625</v>
      </c>
      <c r="I11" s="1">
        <v>12</v>
      </c>
      <c r="J11" s="1">
        <v>376</v>
      </c>
      <c r="K11" s="1">
        <v>1163</v>
      </c>
      <c r="L11" s="1">
        <v>83</v>
      </c>
      <c r="M11">
        <f t="shared" si="0"/>
        <v>1051.6489361702129</v>
      </c>
      <c r="P11" s="1"/>
    </row>
    <row r="12" spans="1:18" ht="15.75" customHeight="1">
      <c r="A12" s="1">
        <f t="shared" si="2"/>
        <v>10</v>
      </c>
      <c r="B12" s="1" t="s">
        <v>26</v>
      </c>
      <c r="C12" s="1">
        <v>3</v>
      </c>
      <c r="D12" s="1">
        <v>4</v>
      </c>
      <c r="E12" s="1" t="s">
        <v>24</v>
      </c>
      <c r="G12" s="1" t="s">
        <v>26</v>
      </c>
      <c r="H12" s="1">
        <v>13010</v>
      </c>
      <c r="J12" s="1">
        <v>383</v>
      </c>
      <c r="K12" s="1">
        <v>1033</v>
      </c>
      <c r="L12" s="1">
        <v>121</v>
      </c>
      <c r="M12">
        <f t="shared" si="0"/>
        <v>917.023498694517</v>
      </c>
      <c r="N12" s="1"/>
    </row>
    <row r="13" spans="1:18" ht="15.75" customHeight="1">
      <c r="A13" s="1">
        <f t="shared" si="2"/>
        <v>11</v>
      </c>
      <c r="B13" s="1" t="s">
        <v>27</v>
      </c>
      <c r="C13" s="1">
        <v>3</v>
      </c>
      <c r="D13" s="1">
        <v>4</v>
      </c>
      <c r="E13" s="1" t="s">
        <v>25</v>
      </c>
      <c r="G13" s="1" t="s">
        <v>27</v>
      </c>
      <c r="H13" s="1">
        <v>12436</v>
      </c>
      <c r="J13" s="1">
        <v>374</v>
      </c>
      <c r="K13" s="1">
        <v>1074</v>
      </c>
      <c r="L13" s="1">
        <v>81</v>
      </c>
      <c r="M13">
        <f t="shared" si="0"/>
        <v>976.36363636363637</v>
      </c>
    </row>
    <row r="14" spans="1:18" ht="15.75" customHeight="1">
      <c r="A14" s="1">
        <f t="shared" si="2"/>
        <v>12</v>
      </c>
      <c r="B14" s="1" t="s">
        <v>28</v>
      </c>
      <c r="C14" s="1">
        <v>3</v>
      </c>
      <c r="D14" s="1">
        <v>4</v>
      </c>
      <c r="E14" s="1" t="s">
        <v>39</v>
      </c>
      <c r="G14" s="1" t="s">
        <v>28</v>
      </c>
      <c r="H14" s="1">
        <v>12216</v>
      </c>
      <c r="I14" s="1">
        <v>7</v>
      </c>
      <c r="J14" s="1">
        <v>353</v>
      </c>
      <c r="K14" s="1">
        <v>1117</v>
      </c>
      <c r="L14" s="1">
        <v>71</v>
      </c>
      <c r="M14">
        <f t="shared" si="0"/>
        <v>1075.8640226628895</v>
      </c>
    </row>
    <row r="15" spans="1:18" ht="15.75" customHeight="1">
      <c r="A15" s="1">
        <f t="shared" si="2"/>
        <v>13</v>
      </c>
      <c r="B15" s="1" t="s">
        <v>29</v>
      </c>
      <c r="C15" s="1">
        <v>4</v>
      </c>
      <c r="D15" s="1">
        <v>4</v>
      </c>
      <c r="E15" s="1" t="s">
        <v>26</v>
      </c>
      <c r="G15" s="1" t="s">
        <v>17</v>
      </c>
      <c r="H15" s="1">
        <v>12051</v>
      </c>
      <c r="I15" s="1">
        <v>3</v>
      </c>
      <c r="J15" s="1">
        <v>335</v>
      </c>
      <c r="K15" s="1">
        <v>1175</v>
      </c>
      <c r="L15" s="1">
        <v>59</v>
      </c>
      <c r="M15">
        <f t="shared" si="0"/>
        <v>1192.5373134328358</v>
      </c>
      <c r="N15" s="1"/>
    </row>
    <row r="16" spans="1:18" ht="15.75" customHeight="1">
      <c r="A16" s="1">
        <f t="shared" si="2"/>
        <v>14</v>
      </c>
      <c r="B16" s="1" t="s">
        <v>30</v>
      </c>
      <c r="C16" s="1">
        <v>4</v>
      </c>
      <c r="D16" s="1">
        <v>4</v>
      </c>
      <c r="E16" s="1" t="s">
        <v>27</v>
      </c>
      <c r="G16" s="1" t="s">
        <v>18</v>
      </c>
      <c r="H16" s="1">
        <v>12000</v>
      </c>
      <c r="J16" s="1">
        <v>338</v>
      </c>
      <c r="K16" s="1">
        <v>1159</v>
      </c>
      <c r="L16" s="1">
        <v>53</v>
      </c>
      <c r="M16">
        <f t="shared" si="0"/>
        <v>1165.8579881656806</v>
      </c>
    </row>
    <row r="17" spans="1:14" ht="15.75" customHeight="1">
      <c r="A17" s="1">
        <f t="shared" si="2"/>
        <v>15</v>
      </c>
      <c r="B17" s="1" t="s">
        <v>31</v>
      </c>
      <c r="C17" s="1">
        <v>4</v>
      </c>
      <c r="D17" s="1">
        <v>4</v>
      </c>
      <c r="E17" s="1" t="s">
        <v>28</v>
      </c>
      <c r="G17" s="1" t="s">
        <v>19</v>
      </c>
      <c r="H17" s="1">
        <v>11680</v>
      </c>
      <c r="J17" s="1">
        <v>360</v>
      </c>
      <c r="K17" s="1">
        <v>1179</v>
      </c>
      <c r="L17" s="1">
        <v>135</v>
      </c>
      <c r="M17">
        <f t="shared" si="0"/>
        <v>1113.5</v>
      </c>
    </row>
    <row r="18" spans="1:14" ht="15.75" customHeight="1">
      <c r="A18" s="1">
        <f t="shared" si="2"/>
        <v>16</v>
      </c>
      <c r="B18" s="1" t="s">
        <v>32</v>
      </c>
      <c r="C18" s="1">
        <v>4</v>
      </c>
      <c r="D18" s="1">
        <v>4</v>
      </c>
      <c r="E18" s="1" t="s">
        <v>41</v>
      </c>
      <c r="G18" s="1" t="s">
        <v>20</v>
      </c>
      <c r="H18" s="1">
        <v>11706</v>
      </c>
      <c r="J18" s="1">
        <v>330</v>
      </c>
      <c r="K18" s="1">
        <v>1223</v>
      </c>
      <c r="L18" s="1">
        <v>92</v>
      </c>
      <c r="M18">
        <f t="shared" si="0"/>
        <v>1260.060606060606</v>
      </c>
    </row>
    <row r="19" spans="1:14" ht="15.75" customHeight="1">
      <c r="A19" s="1">
        <f t="shared" si="2"/>
        <v>17</v>
      </c>
      <c r="B19" s="1" t="s">
        <v>34</v>
      </c>
      <c r="C19" s="1">
        <v>5</v>
      </c>
      <c r="D19" s="1">
        <v>4</v>
      </c>
      <c r="E19" s="1" t="s">
        <v>29</v>
      </c>
      <c r="G19" s="1" t="s">
        <v>21</v>
      </c>
      <c r="H19" s="1">
        <v>11587</v>
      </c>
      <c r="J19" s="1">
        <v>326</v>
      </c>
      <c r="K19" s="1">
        <v>1225</v>
      </c>
      <c r="L19" s="1">
        <v>28</v>
      </c>
      <c r="M19">
        <f t="shared" si="0"/>
        <v>1277.6073619631902</v>
      </c>
    </row>
    <row r="20" spans="1:14" ht="15.75" customHeight="1">
      <c r="A20" s="1">
        <f t="shared" si="2"/>
        <v>18</v>
      </c>
      <c r="B20" s="1" t="s">
        <v>36</v>
      </c>
      <c r="C20" s="1">
        <v>5</v>
      </c>
      <c r="D20" s="1">
        <v>4</v>
      </c>
      <c r="E20" s="1" t="s">
        <v>30</v>
      </c>
      <c r="G20" s="1" t="s">
        <v>22</v>
      </c>
      <c r="H20" s="1">
        <v>11270</v>
      </c>
      <c r="I20" s="1">
        <v>7.4</v>
      </c>
      <c r="J20" s="1">
        <v>348</v>
      </c>
      <c r="K20" s="1">
        <v>1266</v>
      </c>
      <c r="L20" s="1">
        <v>31</v>
      </c>
      <c r="M20">
        <f t="shared" si="0"/>
        <v>1236.8965517241379</v>
      </c>
    </row>
    <row r="21" spans="1:14" ht="15.75" customHeight="1">
      <c r="A21" s="1">
        <f t="shared" si="2"/>
        <v>19</v>
      </c>
      <c r="B21" s="1" t="s">
        <v>38</v>
      </c>
      <c r="C21" s="1">
        <v>5</v>
      </c>
      <c r="D21" s="1">
        <v>4</v>
      </c>
      <c r="E21" s="1" t="s">
        <v>31</v>
      </c>
      <c r="G21" s="1" t="s">
        <v>23</v>
      </c>
      <c r="H21" s="1">
        <v>11598</v>
      </c>
      <c r="I21" s="1">
        <v>3</v>
      </c>
      <c r="J21" s="1">
        <v>323</v>
      </c>
      <c r="K21" s="1">
        <v>1178</v>
      </c>
      <c r="L21" s="1">
        <v>52</v>
      </c>
      <c r="M21">
        <f t="shared" si="0"/>
        <v>1240</v>
      </c>
    </row>
    <row r="22" spans="1:14" ht="15.75" customHeight="1">
      <c r="A22" s="1">
        <f t="shared" si="2"/>
        <v>20</v>
      </c>
      <c r="B22" s="1" t="s">
        <v>40</v>
      </c>
      <c r="C22" s="1">
        <v>5</v>
      </c>
      <c r="D22" s="1">
        <v>4</v>
      </c>
      <c r="E22" s="1" t="s">
        <v>43</v>
      </c>
      <c r="G22" s="1" t="s">
        <v>24</v>
      </c>
      <c r="H22" s="1">
        <v>11244</v>
      </c>
      <c r="I22" s="1">
        <v>6</v>
      </c>
      <c r="J22" s="1">
        <v>335</v>
      </c>
      <c r="K22" s="1">
        <v>1192</v>
      </c>
      <c r="L22" s="1">
        <v>40</v>
      </c>
      <c r="M22">
        <f t="shared" si="0"/>
        <v>1209.7910447761194</v>
      </c>
    </row>
    <row r="24" spans="1:14" ht="15.75" customHeight="1">
      <c r="C24" s="1"/>
      <c r="D24" s="1" t="s">
        <v>44</v>
      </c>
      <c r="E24" s="1">
        <v>0.3</v>
      </c>
    </row>
    <row r="25" spans="1:14" ht="15.75" customHeight="1">
      <c r="D25" s="1" t="s">
        <v>45</v>
      </c>
      <c r="E25" s="1" t="s">
        <v>46</v>
      </c>
      <c r="F25" s="1" t="s">
        <v>47</v>
      </c>
      <c r="H25" s="1" t="s">
        <v>48</v>
      </c>
    </row>
    <row r="26" spans="1:14" ht="15.75" customHeight="1">
      <c r="C26" s="1"/>
      <c r="D26" s="1" t="s">
        <v>49</v>
      </c>
      <c r="E26" s="1" t="s">
        <v>50</v>
      </c>
      <c r="F26" s="185" t="s">
        <v>98</v>
      </c>
      <c r="G26" s="186"/>
    </row>
    <row r="27" spans="1:14" ht="15.75" customHeight="1">
      <c r="D27" s="1" t="s">
        <v>52</v>
      </c>
      <c r="E27" s="1">
        <v>300</v>
      </c>
      <c r="F27">
        <f>E27/$E$24-E27</f>
        <v>700</v>
      </c>
      <c r="H27">
        <f>E27+F27</f>
        <v>1000</v>
      </c>
      <c r="I27" s="1"/>
      <c r="N27" s="1"/>
    </row>
    <row r="28" spans="1:14" ht="15.75" customHeight="1">
      <c r="D28" s="1" t="s">
        <v>99</v>
      </c>
      <c r="E28" s="1" t="s">
        <v>50</v>
      </c>
      <c r="F28" s="185" t="s">
        <v>100</v>
      </c>
      <c r="G28" s="186"/>
      <c r="I28" s="1"/>
      <c r="N28" s="1"/>
    </row>
    <row r="29" spans="1:14" ht="15.75" customHeight="1">
      <c r="D29" s="1" t="s">
        <v>52</v>
      </c>
      <c r="E29" s="1">
        <v>300</v>
      </c>
      <c r="F29">
        <f>E29/$E$24-E29</f>
        <v>700</v>
      </c>
      <c r="H29">
        <f>E29+F29</f>
        <v>1000</v>
      </c>
      <c r="I29" s="1"/>
      <c r="J29" s="1"/>
    </row>
    <row r="30" spans="1:14" ht="15.75" customHeight="1">
      <c r="D30" s="1" t="s">
        <v>101</v>
      </c>
      <c r="E30" s="1" t="s">
        <v>50</v>
      </c>
      <c r="F30" s="4" t="s">
        <v>102</v>
      </c>
      <c r="G30" s="6"/>
      <c r="I30" s="1"/>
    </row>
    <row r="31" spans="1:14" ht="15.75" customHeight="1">
      <c r="C31" s="1"/>
      <c r="D31" s="1" t="s">
        <v>52</v>
      </c>
      <c r="E31" s="1">
        <v>300</v>
      </c>
      <c r="F31">
        <f>E31/$E$24-E31</f>
        <v>700</v>
      </c>
      <c r="H31">
        <f>E31+F31</f>
        <v>1000</v>
      </c>
      <c r="I31" s="1"/>
    </row>
    <row r="32" spans="1:14" ht="15.75" customHeight="1">
      <c r="C32" s="1"/>
      <c r="D32" s="1" t="s">
        <v>103</v>
      </c>
      <c r="E32" s="1" t="s">
        <v>50</v>
      </c>
      <c r="F32" s="185" t="s">
        <v>104</v>
      </c>
      <c r="G32" s="186"/>
    </row>
    <row r="33" spans="1:13" ht="15.75" customHeight="1">
      <c r="C33" s="1"/>
      <c r="D33" s="1" t="s">
        <v>52</v>
      </c>
      <c r="E33" s="1">
        <v>300</v>
      </c>
      <c r="F33">
        <f>E33/$E$24-E33</f>
        <v>700</v>
      </c>
      <c r="H33">
        <f>E33+F33</f>
        <v>1000</v>
      </c>
    </row>
    <row r="34" spans="1:13" ht="15.75" customHeight="1">
      <c r="D34" s="1" t="s">
        <v>105</v>
      </c>
      <c r="E34" s="1" t="s">
        <v>50</v>
      </c>
      <c r="F34" s="185" t="s">
        <v>106</v>
      </c>
      <c r="G34" s="186"/>
      <c r="K34" s="1">
        <v>0.01</v>
      </c>
      <c r="L34" s="1" t="s">
        <v>56</v>
      </c>
    </row>
    <row r="35" spans="1:13" ht="15.75" customHeight="1">
      <c r="D35" s="1" t="s">
        <v>52</v>
      </c>
      <c r="E35" s="1">
        <v>300</v>
      </c>
      <c r="F35">
        <f>E35/$E$24-E35</f>
        <v>700</v>
      </c>
      <c r="H35">
        <f>E35+F35</f>
        <v>1000</v>
      </c>
      <c r="K35">
        <f>K34*1000</f>
        <v>10</v>
      </c>
      <c r="L35" s="1" t="s">
        <v>57</v>
      </c>
    </row>
    <row r="36" spans="1:13" ht="15.75" customHeight="1">
      <c r="K36">
        <f>K34*25</f>
        <v>0.25</v>
      </c>
    </row>
    <row r="37" spans="1:13" ht="15.75" customHeight="1">
      <c r="D37" s="1" t="s">
        <v>53</v>
      </c>
      <c r="E37">
        <f>SUM(E35,E33,E31,E29,E27)</f>
        <v>1500</v>
      </c>
      <c r="F37" t="e">
        <f>F27+F29+F31+F33+F35+#REF!+#REF!</f>
        <v>#REF!</v>
      </c>
    </row>
    <row r="39" spans="1:13" ht="12.75">
      <c r="K39">
        <f>K34/0.7</f>
        <v>1.4285714285714287E-2</v>
      </c>
      <c r="L39">
        <f>K39*4</f>
        <v>5.7142857142857148E-2</v>
      </c>
    </row>
    <row r="40" spans="1:13" ht="12.75">
      <c r="A40" s="1" t="s">
        <v>58</v>
      </c>
    </row>
    <row r="41" spans="1:13" ht="12.75">
      <c r="A41" s="1" t="s">
        <v>107</v>
      </c>
    </row>
    <row r="42" spans="1:13" ht="12.75">
      <c r="A42" s="1" t="s">
        <v>108</v>
      </c>
    </row>
    <row r="43" spans="1:13" ht="12.75">
      <c r="A43" s="1" t="s">
        <v>92</v>
      </c>
      <c r="G43" s="1">
        <v>25</v>
      </c>
      <c r="H43" s="1" t="s">
        <v>63</v>
      </c>
    </row>
    <row r="44" spans="1:13" ht="12.75">
      <c r="A44" s="1" t="s">
        <v>109</v>
      </c>
      <c r="G44">
        <f>25/1000</f>
        <v>2.5000000000000001E-2</v>
      </c>
      <c r="H44" s="1" t="s">
        <v>28</v>
      </c>
      <c r="L44" s="1" t="s">
        <v>110</v>
      </c>
    </row>
    <row r="45" spans="1:13" ht="12.75">
      <c r="A45" s="1" t="s">
        <v>68</v>
      </c>
      <c r="L45" s="1">
        <v>1.2522</v>
      </c>
      <c r="M45" s="1" t="s">
        <v>70</v>
      </c>
    </row>
    <row r="46" spans="1:13" ht="12.75">
      <c r="A46" s="1" t="s">
        <v>69</v>
      </c>
      <c r="G46" s="1">
        <v>10</v>
      </c>
      <c r="H46" s="1" t="s">
        <v>57</v>
      </c>
      <c r="I46">
        <f>G44*G46</f>
        <v>0.25</v>
      </c>
      <c r="J46" s="1" t="s">
        <v>70</v>
      </c>
      <c r="L46" s="1">
        <v>0.25280000000000002</v>
      </c>
      <c r="M46" s="1" t="s">
        <v>70</v>
      </c>
    </row>
    <row r="47" spans="1:13" ht="12.75">
      <c r="A47" s="1" t="s">
        <v>111</v>
      </c>
      <c r="G47" s="1">
        <v>50</v>
      </c>
      <c r="H47" s="1" t="s">
        <v>57</v>
      </c>
      <c r="I47">
        <f>G44*G47</f>
        <v>1.25</v>
      </c>
      <c r="J47" s="1" t="s">
        <v>70</v>
      </c>
    </row>
    <row r="48" spans="1:13" ht="12.75">
      <c r="L48" s="1" t="s">
        <v>112</v>
      </c>
    </row>
    <row r="49" spans="1:12" ht="12.75">
      <c r="A49" s="1" t="s">
        <v>73</v>
      </c>
      <c r="L49" s="1">
        <v>1.2515000000000001</v>
      </c>
    </row>
    <row r="50" spans="1:12" ht="12.75">
      <c r="A50" s="1" t="s">
        <v>113</v>
      </c>
      <c r="L50" s="1">
        <v>0.2515</v>
      </c>
    </row>
    <row r="51" spans="1:12" ht="12.75">
      <c r="A51" s="1" t="s">
        <v>114</v>
      </c>
    </row>
    <row r="52" spans="1:12" ht="12.75">
      <c r="A52" s="1" t="s">
        <v>115</v>
      </c>
    </row>
    <row r="53" spans="1:12" ht="12.75">
      <c r="A53" s="1"/>
    </row>
    <row r="54" spans="1:12" ht="12.75">
      <c r="A54" s="1"/>
    </row>
    <row r="55" spans="1:12" ht="12.75">
      <c r="A55" s="1"/>
    </row>
    <row r="56" spans="1:12" ht="12.75">
      <c r="A56" s="1"/>
    </row>
    <row r="58" spans="1:12" ht="12.75">
      <c r="A58" s="1" t="s">
        <v>76</v>
      </c>
    </row>
    <row r="59" spans="1:12" ht="12.75">
      <c r="A59" s="1" t="s">
        <v>116</v>
      </c>
    </row>
    <row r="60" spans="1:12" ht="12.75">
      <c r="A60" s="1" t="s">
        <v>117</v>
      </c>
    </row>
    <row r="61" spans="1:12" ht="12.75">
      <c r="A61" s="1"/>
    </row>
  </sheetData>
  <mergeCells count="4">
    <mergeCell ref="F26:G26"/>
    <mergeCell ref="F28:G28"/>
    <mergeCell ref="F32:G32"/>
    <mergeCell ref="F34:G3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8"/>
  <sheetViews>
    <sheetView workbookViewId="0"/>
  </sheetViews>
  <sheetFormatPr defaultColWidth="14.42578125" defaultRowHeight="15.75" customHeight="1"/>
  <cols>
    <col min="4" max="4" width="18.140625" customWidth="1"/>
    <col min="6" max="6" width="20" customWidth="1"/>
    <col min="9" max="10" width="30" customWidth="1"/>
  </cols>
  <sheetData>
    <row r="1" spans="1:41" ht="15.75" customHeight="1">
      <c r="A1" s="114" t="s">
        <v>1</v>
      </c>
      <c r="B1" s="110" t="s">
        <v>658</v>
      </c>
      <c r="C1" s="114" t="s">
        <v>659</v>
      </c>
      <c r="D1" s="114" t="s">
        <v>660</v>
      </c>
      <c r="E1" s="114" t="s">
        <v>661</v>
      </c>
      <c r="F1" s="110" t="s">
        <v>954</v>
      </c>
      <c r="G1" s="110" t="s">
        <v>662</v>
      </c>
      <c r="H1" s="114" t="s">
        <v>97</v>
      </c>
      <c r="I1" s="110" t="s">
        <v>585</v>
      </c>
      <c r="J1" s="114" t="s">
        <v>664</v>
      </c>
      <c r="K1" s="114" t="s">
        <v>665</v>
      </c>
      <c r="L1" s="114" t="s">
        <v>666</v>
      </c>
      <c r="M1" s="114" t="s">
        <v>667</v>
      </c>
      <c r="O1" s="114"/>
      <c r="P1" s="1" t="s">
        <v>6</v>
      </c>
      <c r="Q1" s="1" t="s">
        <v>7</v>
      </c>
      <c r="R1" s="1" t="s">
        <v>8</v>
      </c>
      <c r="S1" s="1" t="s">
        <v>9</v>
      </c>
      <c r="T1" s="1" t="s">
        <v>10</v>
      </c>
      <c r="U1" s="103" t="s">
        <v>11</v>
      </c>
      <c r="V1" s="103" t="s">
        <v>397</v>
      </c>
      <c r="W1" s="103" t="s">
        <v>955</v>
      </c>
      <c r="X1" s="1" t="s">
        <v>6</v>
      </c>
      <c r="Y1" s="1" t="s">
        <v>7</v>
      </c>
      <c r="Z1" s="1" t="s">
        <v>8</v>
      </c>
      <c r="AA1" s="1" t="s">
        <v>9</v>
      </c>
      <c r="AB1" s="1" t="s">
        <v>10</v>
      </c>
      <c r="AC1" s="103" t="s">
        <v>11</v>
      </c>
      <c r="AD1" s="103" t="s">
        <v>397</v>
      </c>
      <c r="AE1" s="103"/>
      <c r="AK1" s="1"/>
    </row>
    <row r="2" spans="1:41" ht="15.75" customHeight="1">
      <c r="A2" s="1"/>
      <c r="W2" s="163">
        <v>42312</v>
      </c>
      <c r="AD2" s="1">
        <v>340</v>
      </c>
    </row>
    <row r="3" spans="1:41" ht="15.75" customHeight="1">
      <c r="A3" s="110" t="s">
        <v>17</v>
      </c>
      <c r="B3" s="110" t="s">
        <v>669</v>
      </c>
      <c r="C3" s="110" t="s">
        <v>832</v>
      </c>
      <c r="D3" s="111">
        <v>4</v>
      </c>
      <c r="E3" s="127">
        <f t="shared" ref="E3:E5" si="0">D3+K3/1000</f>
        <v>4.12</v>
      </c>
      <c r="F3" s="110" t="s">
        <v>956</v>
      </c>
      <c r="G3" s="112">
        <v>0</v>
      </c>
      <c r="H3" s="112">
        <v>1</v>
      </c>
      <c r="I3" s="112" t="s">
        <v>883</v>
      </c>
      <c r="J3" s="111">
        <v>10</v>
      </c>
      <c r="K3" s="112">
        <v>120</v>
      </c>
      <c r="L3" s="112">
        <v>10</v>
      </c>
      <c r="M3" s="112">
        <v>50</v>
      </c>
      <c r="O3" s="110" t="s">
        <v>17</v>
      </c>
      <c r="P3" s="123">
        <v>13273</v>
      </c>
      <c r="Q3" s="123">
        <v>0</v>
      </c>
      <c r="R3" s="123">
        <v>377</v>
      </c>
      <c r="S3" s="123">
        <v>1088</v>
      </c>
      <c r="T3" s="1">
        <v>112</v>
      </c>
      <c r="U3">
        <f t="shared" ref="U3:U17" si="1">$V$18/R3*S3</f>
        <v>981.22015915119368</v>
      </c>
      <c r="W3" s="1"/>
      <c r="X3" s="1">
        <v>14299.9</v>
      </c>
      <c r="Y3" s="1">
        <v>0</v>
      </c>
      <c r="Z3" s="1">
        <v>407.2</v>
      </c>
      <c r="AA3" s="1">
        <v>620.1</v>
      </c>
      <c r="AB3" s="1">
        <v>283.3</v>
      </c>
      <c r="AC3">
        <f t="shared" ref="AC3:AC17" si="2">$AD$2/Z3*AA3</f>
        <v>517.76522593320237</v>
      </c>
      <c r="AG3" s="1"/>
    </row>
    <row r="4" spans="1:41" ht="15.75" customHeight="1">
      <c r="A4" s="110" t="s">
        <v>18</v>
      </c>
      <c r="B4" s="110" t="s">
        <v>669</v>
      </c>
      <c r="C4" s="110" t="s">
        <v>832</v>
      </c>
      <c r="D4" s="111">
        <v>4</v>
      </c>
      <c r="E4" s="127">
        <f t="shared" si="0"/>
        <v>4.12</v>
      </c>
      <c r="F4" s="110" t="s">
        <v>956</v>
      </c>
      <c r="G4" s="112">
        <v>0</v>
      </c>
      <c r="H4" s="112">
        <v>1</v>
      </c>
      <c r="I4" s="112" t="s">
        <v>883</v>
      </c>
      <c r="J4" s="111">
        <v>10</v>
      </c>
      <c r="K4" s="112">
        <v>120</v>
      </c>
      <c r="L4" s="112">
        <v>10</v>
      </c>
      <c r="M4" s="112">
        <v>50</v>
      </c>
      <c r="O4" s="110" t="s">
        <v>18</v>
      </c>
      <c r="P4" s="123">
        <v>13971</v>
      </c>
      <c r="Q4" s="123">
        <v>0</v>
      </c>
      <c r="R4" s="123">
        <v>379</v>
      </c>
      <c r="S4" s="123">
        <v>830</v>
      </c>
      <c r="T4" s="1">
        <v>192</v>
      </c>
      <c r="U4">
        <f t="shared" si="1"/>
        <v>744.59102902374673</v>
      </c>
      <c r="X4" s="1">
        <v>14928.8</v>
      </c>
      <c r="Y4" s="1">
        <v>0</v>
      </c>
      <c r="Z4" s="1">
        <v>481</v>
      </c>
      <c r="AA4" s="1">
        <v>311.89999999999998</v>
      </c>
      <c r="AB4" s="1">
        <v>372.8</v>
      </c>
      <c r="AC4">
        <f t="shared" si="2"/>
        <v>220.46985446985445</v>
      </c>
    </row>
    <row r="5" spans="1:41" ht="15.75" customHeight="1">
      <c r="A5" s="110" t="s">
        <v>19</v>
      </c>
      <c r="B5" s="110" t="s">
        <v>669</v>
      </c>
      <c r="C5" s="110" t="s">
        <v>832</v>
      </c>
      <c r="D5" s="111">
        <v>4</v>
      </c>
      <c r="E5" s="127">
        <f t="shared" si="0"/>
        <v>4.12</v>
      </c>
      <c r="F5" s="110" t="s">
        <v>956</v>
      </c>
      <c r="G5" s="112">
        <v>11</v>
      </c>
      <c r="H5" s="112">
        <v>1</v>
      </c>
      <c r="I5" s="112" t="s">
        <v>883</v>
      </c>
      <c r="J5" s="111">
        <v>10</v>
      </c>
      <c r="K5" s="112">
        <v>120</v>
      </c>
      <c r="L5" s="112">
        <v>10</v>
      </c>
      <c r="M5" s="112">
        <v>50</v>
      </c>
      <c r="O5" s="110" t="s">
        <v>19</v>
      </c>
      <c r="P5" s="1">
        <v>12951</v>
      </c>
      <c r="Q5" s="123">
        <v>0</v>
      </c>
      <c r="R5" s="1">
        <v>393</v>
      </c>
      <c r="S5" s="1">
        <v>1018</v>
      </c>
      <c r="T5" s="1">
        <v>117</v>
      </c>
      <c r="U5">
        <f t="shared" si="1"/>
        <v>880.71246819338421</v>
      </c>
      <c r="X5" s="1">
        <v>13621.3</v>
      </c>
      <c r="Y5" s="1">
        <v>0</v>
      </c>
      <c r="Z5" s="1">
        <v>396.5</v>
      </c>
      <c r="AA5" s="1">
        <v>715.3</v>
      </c>
      <c r="AB5" s="1">
        <v>229.2</v>
      </c>
      <c r="AC5">
        <f t="shared" si="2"/>
        <v>613.37200504413613</v>
      </c>
      <c r="AD5" s="1"/>
      <c r="AE5" s="1"/>
      <c r="AG5" s="1"/>
      <c r="AH5" s="1"/>
      <c r="AI5" s="1"/>
      <c r="AJ5" s="1"/>
      <c r="AK5" s="1"/>
      <c r="AL5" s="1"/>
      <c r="AM5" s="1"/>
      <c r="AN5" s="1"/>
      <c r="AO5" s="1"/>
    </row>
    <row r="6" spans="1:41" ht="15.75" customHeight="1">
      <c r="A6" s="110" t="s">
        <v>20</v>
      </c>
      <c r="B6" s="110" t="s">
        <v>669</v>
      </c>
      <c r="C6" s="110" t="s">
        <v>832</v>
      </c>
      <c r="D6" s="112">
        <v>4</v>
      </c>
      <c r="E6" s="112">
        <v>4.12</v>
      </c>
      <c r="F6" s="110" t="s">
        <v>956</v>
      </c>
      <c r="G6" s="112">
        <v>29</v>
      </c>
      <c r="H6" s="112">
        <v>1</v>
      </c>
      <c r="I6" s="112" t="s">
        <v>883</v>
      </c>
      <c r="J6" s="111">
        <v>10</v>
      </c>
      <c r="K6" s="112">
        <v>120</v>
      </c>
      <c r="L6" s="112">
        <v>10</v>
      </c>
      <c r="M6" s="112">
        <v>50</v>
      </c>
      <c r="O6" s="110" t="s">
        <v>20</v>
      </c>
      <c r="P6" s="1">
        <v>13457</v>
      </c>
      <c r="Q6" s="123">
        <v>0</v>
      </c>
      <c r="R6" s="1">
        <v>369</v>
      </c>
      <c r="S6" s="1">
        <v>866</v>
      </c>
      <c r="T6" s="1">
        <v>175</v>
      </c>
      <c r="U6">
        <f t="shared" si="1"/>
        <v>797.94037940379405</v>
      </c>
      <c r="X6" s="1">
        <v>14639.9</v>
      </c>
      <c r="Y6" s="1">
        <v>0</v>
      </c>
      <c r="Z6" s="1">
        <v>476</v>
      </c>
      <c r="AA6" s="1">
        <v>151.19999999999999</v>
      </c>
      <c r="AB6" s="1">
        <v>430.4</v>
      </c>
      <c r="AC6">
        <f t="shared" si="2"/>
        <v>108</v>
      </c>
      <c r="AI6" s="1"/>
      <c r="AJ6" s="1"/>
      <c r="AK6" s="1"/>
      <c r="AL6" s="1"/>
      <c r="AM6" s="1"/>
      <c r="AN6" s="1"/>
      <c r="AO6" s="1"/>
    </row>
    <row r="7" spans="1:41" ht="15.75" customHeight="1">
      <c r="A7" s="110" t="s">
        <v>21</v>
      </c>
      <c r="B7" s="110" t="s">
        <v>669</v>
      </c>
      <c r="C7" s="110" t="s">
        <v>832</v>
      </c>
      <c r="D7" s="112">
        <v>4</v>
      </c>
      <c r="E7" s="112">
        <v>4.12</v>
      </c>
      <c r="F7" s="110" t="s">
        <v>956</v>
      </c>
      <c r="G7" s="112">
        <v>29</v>
      </c>
      <c r="H7" s="112">
        <v>1</v>
      </c>
      <c r="I7" s="112" t="s">
        <v>883</v>
      </c>
      <c r="J7" s="111">
        <v>10</v>
      </c>
      <c r="K7" s="112">
        <v>120</v>
      </c>
      <c r="L7" s="112">
        <v>10</v>
      </c>
      <c r="M7" s="112">
        <v>50</v>
      </c>
      <c r="O7" s="110" t="s">
        <v>21</v>
      </c>
      <c r="P7" s="1">
        <v>13553</v>
      </c>
      <c r="Q7" s="123">
        <v>0</v>
      </c>
      <c r="R7" s="1">
        <v>374</v>
      </c>
      <c r="S7" s="1">
        <v>834</v>
      </c>
      <c r="T7" s="1">
        <v>180</v>
      </c>
      <c r="U7">
        <f t="shared" si="1"/>
        <v>758.18181818181813</v>
      </c>
      <c r="X7" s="1">
        <v>13770.5</v>
      </c>
      <c r="Y7" s="1">
        <v>0</v>
      </c>
      <c r="Z7" s="1">
        <v>530.79999999999995</v>
      </c>
      <c r="AA7" s="1">
        <v>377.4</v>
      </c>
      <c r="AB7" s="1">
        <v>323.89999999999998</v>
      </c>
      <c r="AC7">
        <f t="shared" si="2"/>
        <v>241.74076865109271</v>
      </c>
    </row>
    <row r="8" spans="1:41" ht="15.75" customHeight="1">
      <c r="A8" s="110" t="s">
        <v>22</v>
      </c>
      <c r="B8" s="110" t="s">
        <v>675</v>
      </c>
      <c r="C8" s="110" t="s">
        <v>832</v>
      </c>
      <c r="D8" s="112">
        <v>4</v>
      </c>
      <c r="E8" s="112">
        <v>4.12</v>
      </c>
      <c r="F8" s="110" t="s">
        <v>957</v>
      </c>
      <c r="G8" s="112">
        <v>0</v>
      </c>
      <c r="H8" s="112">
        <v>2</v>
      </c>
      <c r="I8" s="112" t="s">
        <v>883</v>
      </c>
      <c r="J8" s="111">
        <v>10</v>
      </c>
      <c r="K8" s="112">
        <v>120</v>
      </c>
      <c r="L8" s="112">
        <v>10</v>
      </c>
      <c r="M8" s="112">
        <v>50</v>
      </c>
      <c r="O8" s="110" t="s">
        <v>22</v>
      </c>
      <c r="P8" s="1">
        <v>13254</v>
      </c>
      <c r="Q8" s="123">
        <v>0</v>
      </c>
      <c r="R8" s="1">
        <v>358</v>
      </c>
      <c r="S8" s="1">
        <v>857</v>
      </c>
      <c r="T8" s="1">
        <v>161</v>
      </c>
      <c r="U8">
        <f t="shared" si="1"/>
        <v>813.91061452513964</v>
      </c>
      <c r="X8" s="1">
        <v>13676.3</v>
      </c>
      <c r="Y8" s="1">
        <v>0</v>
      </c>
      <c r="Z8" s="1">
        <v>403.5</v>
      </c>
      <c r="AA8" s="1">
        <v>587.1</v>
      </c>
      <c r="AB8" s="1">
        <v>253.6</v>
      </c>
      <c r="AC8">
        <f t="shared" si="2"/>
        <v>494.70631970260223</v>
      </c>
    </row>
    <row r="9" spans="1:41" ht="15.75" customHeight="1">
      <c r="A9" s="110" t="s">
        <v>23</v>
      </c>
      <c r="B9" s="110" t="s">
        <v>675</v>
      </c>
      <c r="C9" s="110" t="s">
        <v>832</v>
      </c>
      <c r="D9" s="111">
        <v>4</v>
      </c>
      <c r="E9" s="127">
        <f>D9+K9/1000</f>
        <v>4.12</v>
      </c>
      <c r="F9" s="110" t="s">
        <v>957</v>
      </c>
      <c r="G9" s="112">
        <v>11</v>
      </c>
      <c r="H9" s="112">
        <v>2</v>
      </c>
      <c r="I9" s="112" t="s">
        <v>883</v>
      </c>
      <c r="J9" s="111">
        <v>10</v>
      </c>
      <c r="K9" s="112">
        <v>120</v>
      </c>
      <c r="L9" s="112">
        <v>10</v>
      </c>
      <c r="M9" s="112">
        <v>50</v>
      </c>
      <c r="O9" s="110" t="s">
        <v>23</v>
      </c>
      <c r="P9" s="123">
        <v>13062</v>
      </c>
      <c r="Q9" s="123">
        <v>0</v>
      </c>
      <c r="R9" s="123">
        <v>363</v>
      </c>
      <c r="S9" s="123">
        <v>869</v>
      </c>
      <c r="T9" s="1">
        <v>162</v>
      </c>
      <c r="U9">
        <f t="shared" si="1"/>
        <v>813.93939393939399</v>
      </c>
      <c r="X9" s="1">
        <v>13685.3</v>
      </c>
      <c r="Y9" s="1">
        <v>0</v>
      </c>
      <c r="Z9" s="1">
        <v>415.8</v>
      </c>
      <c r="AA9" s="1">
        <v>547.20000000000005</v>
      </c>
      <c r="AB9" s="1">
        <v>279.39999999999998</v>
      </c>
      <c r="AC9">
        <f t="shared" si="2"/>
        <v>447.44588744588748</v>
      </c>
      <c r="AD9" s="1"/>
      <c r="AE9" s="1"/>
      <c r="AF9" s="1"/>
      <c r="AG9" s="1"/>
      <c r="AH9" s="1"/>
      <c r="AI9" s="1"/>
      <c r="AJ9" s="1"/>
    </row>
    <row r="10" spans="1:41" ht="15.75" customHeight="1">
      <c r="A10" s="110" t="s">
        <v>24</v>
      </c>
      <c r="B10" s="110" t="s">
        <v>675</v>
      </c>
      <c r="C10" s="110" t="s">
        <v>832</v>
      </c>
      <c r="D10" s="112">
        <v>4</v>
      </c>
      <c r="E10" s="112">
        <v>4.12</v>
      </c>
      <c r="F10" s="110" t="s">
        <v>957</v>
      </c>
      <c r="G10" s="112">
        <v>29</v>
      </c>
      <c r="H10" s="112">
        <v>2</v>
      </c>
      <c r="I10" s="112" t="s">
        <v>883</v>
      </c>
      <c r="J10" s="111">
        <v>10</v>
      </c>
      <c r="K10" s="112">
        <v>120</v>
      </c>
      <c r="L10" s="112">
        <v>10</v>
      </c>
      <c r="M10" s="112">
        <v>50</v>
      </c>
      <c r="O10" s="110" t="s">
        <v>24</v>
      </c>
      <c r="P10" s="1">
        <v>12771</v>
      </c>
      <c r="Q10" s="123">
        <v>0</v>
      </c>
      <c r="R10" s="1">
        <v>462</v>
      </c>
      <c r="S10" s="1">
        <v>772</v>
      </c>
      <c r="T10" s="1">
        <v>176</v>
      </c>
      <c r="U10">
        <f t="shared" si="1"/>
        <v>568.13852813852805</v>
      </c>
      <c r="X10" s="1">
        <v>13288</v>
      </c>
      <c r="Y10" s="1">
        <v>0</v>
      </c>
      <c r="Z10" s="1">
        <v>511.4</v>
      </c>
      <c r="AA10" s="1">
        <v>472.4</v>
      </c>
      <c r="AB10" s="1">
        <v>247.8</v>
      </c>
      <c r="AC10">
        <f t="shared" si="2"/>
        <v>314.0711771607352</v>
      </c>
    </row>
    <row r="11" spans="1:41" ht="15.75" customHeight="1">
      <c r="A11" s="110" t="s">
        <v>25</v>
      </c>
      <c r="B11" s="110" t="s">
        <v>678</v>
      </c>
      <c r="C11" s="110" t="s">
        <v>832</v>
      </c>
      <c r="D11" s="112">
        <v>4</v>
      </c>
      <c r="E11" s="112">
        <v>4.12</v>
      </c>
      <c r="F11" s="110" t="s">
        <v>958</v>
      </c>
      <c r="G11" s="112">
        <v>0</v>
      </c>
      <c r="H11" s="112">
        <v>3</v>
      </c>
      <c r="I11" s="112" t="s">
        <v>883</v>
      </c>
      <c r="J11" s="111">
        <v>10</v>
      </c>
      <c r="K11" s="112">
        <v>120</v>
      </c>
      <c r="L11" s="112">
        <v>10</v>
      </c>
      <c r="M11" s="112">
        <v>50</v>
      </c>
      <c r="O11" s="110" t="s">
        <v>25</v>
      </c>
      <c r="P11" s="1">
        <v>12469</v>
      </c>
      <c r="Q11" s="123">
        <v>0</v>
      </c>
      <c r="R11" s="1">
        <v>359</v>
      </c>
      <c r="S11" s="1">
        <v>1019</v>
      </c>
      <c r="T11" s="1">
        <v>104</v>
      </c>
      <c r="U11">
        <f t="shared" si="1"/>
        <v>965.06963788300834</v>
      </c>
      <c r="X11" s="1">
        <v>12823.7</v>
      </c>
      <c r="Y11" s="1">
        <v>0</v>
      </c>
      <c r="Z11" s="1">
        <v>380.5</v>
      </c>
      <c r="AA11" s="1">
        <v>872.9</v>
      </c>
      <c r="AB11" s="1">
        <v>166.3</v>
      </c>
      <c r="AC11">
        <f t="shared" si="2"/>
        <v>779.9894875164257</v>
      </c>
      <c r="AE11" s="1"/>
    </row>
    <row r="12" spans="1:41" ht="15.75" customHeight="1">
      <c r="A12" s="110" t="s">
        <v>26</v>
      </c>
      <c r="B12" s="110" t="s">
        <v>678</v>
      </c>
      <c r="C12" s="110" t="s">
        <v>832</v>
      </c>
      <c r="D12" s="112">
        <v>4</v>
      </c>
      <c r="E12" s="112">
        <v>4.12</v>
      </c>
      <c r="F12" s="110" t="s">
        <v>958</v>
      </c>
      <c r="G12" s="112">
        <v>11</v>
      </c>
      <c r="H12" s="112">
        <v>3</v>
      </c>
      <c r="I12" s="112" t="s">
        <v>883</v>
      </c>
      <c r="J12" s="111">
        <v>10</v>
      </c>
      <c r="K12" s="112">
        <v>120</v>
      </c>
      <c r="L12" s="112">
        <v>10</v>
      </c>
      <c r="M12" s="112">
        <v>50</v>
      </c>
      <c r="O12" s="110" t="s">
        <v>26</v>
      </c>
      <c r="P12" s="1">
        <v>12927</v>
      </c>
      <c r="Q12" s="123">
        <v>0</v>
      </c>
      <c r="R12" s="1">
        <v>359</v>
      </c>
      <c r="S12" s="1">
        <v>863</v>
      </c>
      <c r="T12" s="1">
        <v>161</v>
      </c>
      <c r="U12">
        <f t="shared" si="1"/>
        <v>817.32590529247909</v>
      </c>
      <c r="X12" s="1">
        <v>12022.7</v>
      </c>
      <c r="Y12" s="1">
        <v>0</v>
      </c>
      <c r="Z12" s="1">
        <v>582.1</v>
      </c>
      <c r="AA12" s="1">
        <v>545.6</v>
      </c>
      <c r="AB12" s="1">
        <v>238.7</v>
      </c>
      <c r="AC12">
        <f t="shared" si="2"/>
        <v>318.68063906545268</v>
      </c>
      <c r="AE12" s="1"/>
    </row>
    <row r="13" spans="1:41" ht="15.75" customHeight="1">
      <c r="A13" s="110" t="s">
        <v>27</v>
      </c>
      <c r="B13" s="1" t="s">
        <v>678</v>
      </c>
      <c r="C13" s="110" t="s">
        <v>832</v>
      </c>
      <c r="D13" s="111">
        <v>4</v>
      </c>
      <c r="E13" s="127">
        <f t="shared" ref="E13:E14" si="3">D13+K13/1000</f>
        <v>4.12</v>
      </c>
      <c r="F13" s="110" t="s">
        <v>958</v>
      </c>
      <c r="G13" s="112">
        <v>29</v>
      </c>
      <c r="H13" s="112">
        <v>3</v>
      </c>
      <c r="I13" s="112" t="s">
        <v>883</v>
      </c>
      <c r="J13" s="111">
        <v>10</v>
      </c>
      <c r="K13" s="112">
        <v>120</v>
      </c>
      <c r="L13" s="112">
        <v>10</v>
      </c>
      <c r="M13" s="112">
        <v>50</v>
      </c>
      <c r="O13" s="110" t="s">
        <v>27</v>
      </c>
      <c r="P13" s="103">
        <v>12285</v>
      </c>
      <c r="Q13" s="123">
        <v>0</v>
      </c>
      <c r="R13" s="103">
        <v>329</v>
      </c>
      <c r="S13" s="103">
        <v>1040</v>
      </c>
      <c r="T13" s="1">
        <v>68</v>
      </c>
      <c r="U13">
        <f t="shared" si="1"/>
        <v>1074.7720364741642</v>
      </c>
      <c r="X13" s="1">
        <v>12512.2</v>
      </c>
      <c r="Y13" s="1">
        <v>0</v>
      </c>
      <c r="Z13" s="1">
        <v>348</v>
      </c>
      <c r="AA13" s="1">
        <v>899.4</v>
      </c>
      <c r="AB13" s="1">
        <v>131.69999999999999</v>
      </c>
      <c r="AC13">
        <f t="shared" si="2"/>
        <v>878.72413793103453</v>
      </c>
      <c r="AD13" s="1"/>
      <c r="AK13" s="1"/>
      <c r="AM13" s="1"/>
      <c r="AO13" s="1"/>
    </row>
    <row r="14" spans="1:41" ht="15.75" customHeight="1">
      <c r="A14" s="110" t="s">
        <v>28</v>
      </c>
      <c r="B14" s="1" t="s">
        <v>682</v>
      </c>
      <c r="C14" s="110" t="s">
        <v>832</v>
      </c>
      <c r="D14" s="111">
        <v>4</v>
      </c>
      <c r="E14" s="127">
        <f t="shared" si="3"/>
        <v>4.12</v>
      </c>
      <c r="F14" s="110" t="s">
        <v>959</v>
      </c>
      <c r="G14" s="112">
        <v>0</v>
      </c>
      <c r="H14" s="112">
        <v>4</v>
      </c>
      <c r="I14" s="112" t="s">
        <v>883</v>
      </c>
      <c r="J14" s="111">
        <v>10</v>
      </c>
      <c r="K14" s="112">
        <v>120</v>
      </c>
      <c r="L14" s="112">
        <v>10</v>
      </c>
      <c r="M14" s="112">
        <v>50</v>
      </c>
      <c r="O14" s="110" t="s">
        <v>28</v>
      </c>
      <c r="P14" s="103">
        <v>12011</v>
      </c>
      <c r="Q14" s="123">
        <v>0</v>
      </c>
      <c r="R14" s="1">
        <v>337</v>
      </c>
      <c r="S14" s="1">
        <v>1167</v>
      </c>
      <c r="T14" s="1">
        <v>46</v>
      </c>
      <c r="U14">
        <f t="shared" si="1"/>
        <v>1177.3887240356082</v>
      </c>
      <c r="X14" s="1">
        <v>1202.0999999999999</v>
      </c>
      <c r="Y14" s="1">
        <v>0</v>
      </c>
      <c r="Z14" s="1">
        <v>342.3</v>
      </c>
      <c r="AA14" s="1">
        <v>1143.5</v>
      </c>
      <c r="AB14" s="1">
        <v>58</v>
      </c>
      <c r="AC14">
        <f t="shared" si="2"/>
        <v>1135.8165352030383</v>
      </c>
      <c r="AD14" s="1"/>
      <c r="AK14" s="1"/>
      <c r="AM14" s="1"/>
      <c r="AO14" s="1"/>
    </row>
    <row r="15" spans="1:41" ht="15.75" customHeight="1">
      <c r="A15" s="110" t="s">
        <v>29</v>
      </c>
      <c r="B15" s="1" t="s">
        <v>682</v>
      </c>
      <c r="C15" s="110" t="s">
        <v>832</v>
      </c>
      <c r="D15" s="112">
        <v>4</v>
      </c>
      <c r="E15" s="112">
        <v>4.12</v>
      </c>
      <c r="F15" s="110" t="s">
        <v>959</v>
      </c>
      <c r="G15" s="112">
        <v>11</v>
      </c>
      <c r="H15" s="112">
        <v>4</v>
      </c>
      <c r="I15" s="112" t="s">
        <v>883</v>
      </c>
      <c r="J15" s="111">
        <v>10</v>
      </c>
      <c r="K15" s="112">
        <v>120</v>
      </c>
      <c r="L15" s="112">
        <v>10</v>
      </c>
      <c r="M15" s="112">
        <v>50</v>
      </c>
      <c r="O15" s="110" t="s">
        <v>29</v>
      </c>
      <c r="P15" s="1">
        <v>11816</v>
      </c>
      <c r="Q15" s="123">
        <v>0</v>
      </c>
      <c r="R15" s="1">
        <v>330</v>
      </c>
      <c r="S15" s="1">
        <v>1139</v>
      </c>
      <c r="T15" s="1">
        <v>30</v>
      </c>
      <c r="U15">
        <f t="shared" si="1"/>
        <v>1173.5151515151515</v>
      </c>
      <c r="X15" s="1">
        <v>11471.1</v>
      </c>
      <c r="Y15" s="1">
        <v>0</v>
      </c>
      <c r="Z15" s="1">
        <v>386.8</v>
      </c>
      <c r="AA15" s="1">
        <v>1081.4000000000001</v>
      </c>
      <c r="AB15" s="1">
        <v>42.4</v>
      </c>
      <c r="AC15">
        <f t="shared" si="2"/>
        <v>950.55842812823164</v>
      </c>
      <c r="AE15" s="1"/>
    </row>
    <row r="16" spans="1:41" ht="15.75" customHeight="1">
      <c r="A16" s="110" t="s">
        <v>30</v>
      </c>
      <c r="B16" s="1" t="s">
        <v>682</v>
      </c>
      <c r="C16" s="110" t="s">
        <v>832</v>
      </c>
      <c r="D16" s="112">
        <v>4</v>
      </c>
      <c r="E16" s="112">
        <v>4.12</v>
      </c>
      <c r="F16" s="110" t="s">
        <v>959</v>
      </c>
      <c r="G16" s="112">
        <v>29</v>
      </c>
      <c r="H16" s="112">
        <v>4</v>
      </c>
      <c r="I16" s="112" t="s">
        <v>883</v>
      </c>
      <c r="J16" s="111">
        <v>10</v>
      </c>
      <c r="K16" s="112">
        <v>120</v>
      </c>
      <c r="L16" s="112">
        <v>10</v>
      </c>
      <c r="M16" s="112">
        <v>50</v>
      </c>
      <c r="O16" s="110" t="s">
        <v>30</v>
      </c>
      <c r="P16" s="1">
        <v>12089</v>
      </c>
      <c r="Q16" s="123">
        <v>0</v>
      </c>
      <c r="R16" s="1">
        <v>327</v>
      </c>
      <c r="S16" s="1">
        <v>1214</v>
      </c>
      <c r="T16" s="1">
        <v>38</v>
      </c>
      <c r="U16">
        <f t="shared" si="1"/>
        <v>1262.2629969418958</v>
      </c>
      <c r="X16" s="1">
        <v>121708</v>
      </c>
      <c r="Y16" s="1">
        <v>0</v>
      </c>
      <c r="Z16" s="1">
        <v>329.5</v>
      </c>
      <c r="AA16" s="1">
        <v>1189.3</v>
      </c>
      <c r="AB16" s="1">
        <v>47.9</v>
      </c>
      <c r="AC16">
        <f t="shared" si="2"/>
        <v>1227.1987860394536</v>
      </c>
      <c r="AE16" s="1"/>
    </row>
    <row r="17" spans="1:41" ht="15.75" customHeight="1">
      <c r="A17" s="110" t="s">
        <v>31</v>
      </c>
      <c r="B17" s="1" t="s">
        <v>682</v>
      </c>
      <c r="C17" s="110" t="s">
        <v>832</v>
      </c>
      <c r="D17" s="112">
        <v>4</v>
      </c>
      <c r="E17" s="112">
        <v>4.12</v>
      </c>
      <c r="F17" s="110" t="s">
        <v>959</v>
      </c>
      <c r="G17" s="112">
        <v>29</v>
      </c>
      <c r="H17" s="112">
        <v>4</v>
      </c>
      <c r="I17" s="112" t="s">
        <v>883</v>
      </c>
      <c r="J17" s="111">
        <v>10</v>
      </c>
      <c r="K17" s="112">
        <v>120</v>
      </c>
      <c r="L17" s="112">
        <v>10</v>
      </c>
      <c r="M17" s="112">
        <v>50</v>
      </c>
      <c r="O17" s="110" t="s">
        <v>31</v>
      </c>
      <c r="P17" s="1">
        <v>11836</v>
      </c>
      <c r="Q17" s="123">
        <v>0</v>
      </c>
      <c r="R17" s="1">
        <v>353</v>
      </c>
      <c r="S17" s="1">
        <v>1135</v>
      </c>
      <c r="T17" s="1">
        <v>49</v>
      </c>
      <c r="U17">
        <f t="shared" si="1"/>
        <v>1093.201133144476</v>
      </c>
      <c r="X17" s="1">
        <v>12240.8</v>
      </c>
      <c r="Y17" s="1">
        <v>0</v>
      </c>
      <c r="Z17" s="1">
        <v>337.3</v>
      </c>
      <c r="AA17" s="1">
        <v>1088.3</v>
      </c>
      <c r="AB17" s="1">
        <v>71.2</v>
      </c>
      <c r="AC17">
        <f t="shared" si="2"/>
        <v>1097.0115624073524</v>
      </c>
      <c r="AE17" s="1"/>
    </row>
    <row r="18" spans="1:41" ht="15.75" customHeight="1">
      <c r="I18" s="1"/>
      <c r="J18" s="1"/>
      <c r="O18" s="1" t="s">
        <v>960</v>
      </c>
      <c r="P18" s="1"/>
      <c r="V18" s="103">
        <v>340</v>
      </c>
      <c r="X18" s="1"/>
    </row>
    <row r="19" spans="1:41" ht="15.75" customHeight="1">
      <c r="I19" s="1"/>
      <c r="J19" s="1" t="s">
        <v>961</v>
      </c>
      <c r="K19">
        <f>SUM(K3:K7)</f>
        <v>600</v>
      </c>
      <c r="P19" s="1"/>
      <c r="X19" s="1"/>
    </row>
    <row r="20" spans="1:41" ht="15.75" customHeight="1">
      <c r="A20" s="114" t="s">
        <v>962</v>
      </c>
      <c r="B20" s="114"/>
      <c r="C20" s="114"/>
      <c r="D20" s="114"/>
      <c r="E20" s="114"/>
      <c r="F20" s="110"/>
      <c r="G20" s="110"/>
      <c r="H20" s="114"/>
      <c r="I20" s="110"/>
      <c r="J20" s="110" t="s">
        <v>889</v>
      </c>
      <c r="K20" s="164">
        <f>SUM(K8:K10)</f>
        <v>360</v>
      </c>
      <c r="M20" s="114"/>
      <c r="P20" s="1"/>
      <c r="Q20" s="1"/>
      <c r="R20" s="1"/>
      <c r="S20" s="1"/>
      <c r="U20" s="103"/>
      <c r="V20" s="103"/>
      <c r="W20" s="103"/>
      <c r="X20" s="103"/>
      <c r="Y20" s="1"/>
      <c r="Z20" s="1"/>
      <c r="AA20" s="1"/>
      <c r="AB20" s="103"/>
      <c r="AC20" s="1"/>
      <c r="AD20" s="1"/>
      <c r="AF20" s="103"/>
      <c r="AG20" s="103"/>
      <c r="AH20" s="103"/>
      <c r="AI20" s="1"/>
      <c r="AK20" s="1"/>
      <c r="AL20" s="1"/>
      <c r="AM20" s="1"/>
      <c r="AN20" s="1"/>
      <c r="AO20" s="1"/>
    </row>
    <row r="21" spans="1:41" ht="15.75" customHeight="1">
      <c r="I21" s="1"/>
      <c r="J21" s="1" t="s">
        <v>963</v>
      </c>
      <c r="K21">
        <f>SUM(K11:K13)</f>
        <v>360</v>
      </c>
      <c r="Y21" s="1"/>
      <c r="Z21" s="1"/>
      <c r="AA21" s="1"/>
    </row>
    <row r="22" spans="1:41" ht="15.75" customHeight="1">
      <c r="A22" s="1" t="s">
        <v>689</v>
      </c>
      <c r="I22" s="1"/>
      <c r="J22" s="1" t="s">
        <v>964</v>
      </c>
      <c r="K22">
        <f>SUM(K14:K17)</f>
        <v>480</v>
      </c>
      <c r="Y22" s="1"/>
      <c r="Z22" s="1"/>
      <c r="AA22" s="1"/>
    </row>
    <row r="23" spans="1:41" ht="15.75" customHeight="1">
      <c r="A23" s="1" t="s">
        <v>965</v>
      </c>
      <c r="I23" s="1"/>
      <c r="J23" s="1" t="s">
        <v>966</v>
      </c>
      <c r="K23">
        <f>SUM(K19:K22)</f>
        <v>1800</v>
      </c>
    </row>
    <row r="24" spans="1:41" ht="15.75" customHeight="1">
      <c r="A24" s="1" t="s">
        <v>967</v>
      </c>
      <c r="K24" s="125" t="s">
        <v>968</v>
      </c>
      <c r="L24" s="114"/>
      <c r="M24" s="114"/>
    </row>
    <row r="25" spans="1:41" ht="15.75" customHeight="1">
      <c r="A25" s="1" t="s">
        <v>969</v>
      </c>
      <c r="K25" s="114" t="s">
        <v>970</v>
      </c>
      <c r="L25" s="114" t="s">
        <v>47</v>
      </c>
      <c r="M25" s="114" t="s">
        <v>300</v>
      </c>
    </row>
    <row r="26" spans="1:41" ht="15.75" customHeight="1">
      <c r="A26" s="1" t="s">
        <v>971</v>
      </c>
      <c r="D26" s="1"/>
      <c r="I26" s="1"/>
      <c r="J26" s="1"/>
      <c r="K26" s="125" t="s">
        <v>301</v>
      </c>
      <c r="L26" s="126">
        <v>0.5</v>
      </c>
    </row>
    <row r="27" spans="1:41" ht="15.75" customHeight="1">
      <c r="A27" s="1" t="s">
        <v>972</v>
      </c>
      <c r="D27" s="1"/>
      <c r="E27" s="1"/>
      <c r="I27" s="5"/>
      <c r="J27" s="5" t="s">
        <v>973</v>
      </c>
      <c r="K27" s="112">
        <v>350</v>
      </c>
      <c r="L27" s="127">
        <f>K27/L26-K27</f>
        <v>350</v>
      </c>
      <c r="M27" s="127">
        <f>SUM(K27:L27)</f>
        <v>700</v>
      </c>
      <c r="AD27">
        <v>517.76522593320237</v>
      </c>
    </row>
    <row r="28" spans="1:41" ht="15.75" customHeight="1">
      <c r="A28" s="1" t="s">
        <v>974</v>
      </c>
      <c r="D28" s="1"/>
      <c r="E28" s="1"/>
      <c r="K28" s="1" t="s">
        <v>99</v>
      </c>
      <c r="L28" s="126">
        <v>0.5</v>
      </c>
      <c r="V28" s="1"/>
      <c r="W28" s="1"/>
      <c r="X28" s="1"/>
      <c r="Y28" s="124"/>
      <c r="AD28">
        <v>220.46985446985445</v>
      </c>
    </row>
    <row r="29" spans="1:41" ht="15.75" customHeight="1">
      <c r="A29" s="1" t="s">
        <v>975</v>
      </c>
      <c r="D29" s="1"/>
      <c r="E29" s="1"/>
      <c r="I29" s="5"/>
      <c r="J29" s="5" t="s">
        <v>889</v>
      </c>
      <c r="K29" s="112">
        <v>230</v>
      </c>
      <c r="L29" s="127">
        <f>K29/L28-K29</f>
        <v>230</v>
      </c>
      <c r="M29" s="127">
        <f>SUM(K29:L29)</f>
        <v>460</v>
      </c>
      <c r="Y29" s="124"/>
      <c r="AD29">
        <v>613.37200504413613</v>
      </c>
    </row>
    <row r="30" spans="1:41" ht="15.75" customHeight="1">
      <c r="A30" s="1"/>
      <c r="D30" s="1"/>
      <c r="E30" s="1"/>
      <c r="K30" s="1" t="s">
        <v>101</v>
      </c>
      <c r="L30" s="126">
        <v>0.5</v>
      </c>
      <c r="V30" s="1"/>
      <c r="W30" s="1"/>
      <c r="X30" s="1"/>
      <c r="AD30">
        <v>108</v>
      </c>
    </row>
    <row r="31" spans="1:41" ht="15.75" customHeight="1">
      <c r="A31" s="1" t="s">
        <v>761</v>
      </c>
      <c r="D31" s="1"/>
      <c r="E31" s="1"/>
      <c r="I31" s="128"/>
      <c r="J31" s="128" t="s">
        <v>963</v>
      </c>
      <c r="K31" s="1">
        <v>230</v>
      </c>
      <c r="L31" s="127">
        <f>K31/L30-K31</f>
        <v>230</v>
      </c>
      <c r="M31" s="127">
        <f>SUM(K31:L31)</f>
        <v>460</v>
      </c>
      <c r="V31" s="1"/>
      <c r="W31" s="1"/>
      <c r="X31" s="1"/>
      <c r="AD31">
        <v>241.74076865109271</v>
      </c>
    </row>
    <row r="32" spans="1:41" ht="15.75" customHeight="1">
      <c r="A32" s="1" t="s">
        <v>976</v>
      </c>
      <c r="D32" s="1"/>
      <c r="E32" s="1"/>
      <c r="K32" s="1" t="s">
        <v>101</v>
      </c>
      <c r="L32" s="1">
        <v>0.5</v>
      </c>
      <c r="V32" s="1"/>
      <c r="W32" s="1"/>
      <c r="X32" s="1"/>
      <c r="AD32">
        <v>494.70631970260223</v>
      </c>
    </row>
    <row r="33" spans="1:30" ht="15.75" customHeight="1">
      <c r="A33" s="1" t="s">
        <v>977</v>
      </c>
      <c r="D33" s="1"/>
      <c r="E33" s="1"/>
      <c r="I33" s="5"/>
      <c r="J33" s="5" t="s">
        <v>964</v>
      </c>
      <c r="K33" s="1">
        <v>290</v>
      </c>
      <c r="L33" s="126">
        <f>K33/L32-K33</f>
        <v>290</v>
      </c>
      <c r="M33" s="127">
        <f>K33+L33</f>
        <v>580</v>
      </c>
      <c r="V33" s="1"/>
      <c r="W33" s="1"/>
      <c r="X33" s="1"/>
      <c r="AD33">
        <v>447.44588744588748</v>
      </c>
    </row>
    <row r="34" spans="1:30" ht="15.75" customHeight="1">
      <c r="A34" s="1" t="s">
        <v>978</v>
      </c>
      <c r="D34" s="1"/>
      <c r="E34" s="1"/>
      <c r="V34" s="1"/>
      <c r="W34" s="1"/>
      <c r="X34" s="1"/>
      <c r="AD34">
        <v>314.0711771607352</v>
      </c>
    </row>
    <row r="35" spans="1:30" ht="15.75" customHeight="1">
      <c r="A35" s="1" t="s">
        <v>979</v>
      </c>
      <c r="D35" s="1"/>
      <c r="E35" s="1"/>
      <c r="I35" s="1"/>
      <c r="J35" s="1" t="s">
        <v>980</v>
      </c>
      <c r="K35">
        <f>K27+K29+K31+K33</f>
        <v>1100</v>
      </c>
      <c r="V35" s="1"/>
      <c r="W35" s="1"/>
      <c r="X35" s="1"/>
      <c r="AD35">
        <v>779.9894875164257</v>
      </c>
    </row>
    <row r="36" spans="1:30" ht="15.75" customHeight="1">
      <c r="A36" s="1" t="s">
        <v>981</v>
      </c>
      <c r="D36" s="1"/>
      <c r="E36" s="1"/>
      <c r="V36" s="1"/>
      <c r="W36" s="1"/>
      <c r="X36" s="1"/>
      <c r="AD36">
        <v>318.68063906545268</v>
      </c>
    </row>
    <row r="37" spans="1:30" ht="15.75" customHeight="1">
      <c r="A37" s="1" t="s">
        <v>982</v>
      </c>
      <c r="D37" s="1"/>
      <c r="E37" s="1"/>
      <c r="H37" s="1" t="s">
        <v>983</v>
      </c>
      <c r="V37" s="1"/>
      <c r="W37" s="1"/>
      <c r="X37" s="1"/>
      <c r="AD37">
        <v>878.72413793103453</v>
      </c>
    </row>
    <row r="38" spans="1:30" ht="15.75" customHeight="1">
      <c r="A38" s="1" t="s">
        <v>984</v>
      </c>
      <c r="D38" s="1"/>
      <c r="E38" s="1"/>
      <c r="V38" s="1"/>
      <c r="W38" s="1"/>
      <c r="X38" s="1"/>
      <c r="AD38">
        <v>1135.8165352030383</v>
      </c>
    </row>
    <row r="39" spans="1:30" ht="12.75">
      <c r="A39" s="1"/>
      <c r="D39" s="1"/>
      <c r="E39" s="1"/>
      <c r="V39" s="1"/>
      <c r="W39" s="1"/>
      <c r="X39" s="1"/>
      <c r="AD39">
        <v>950.55842812823164</v>
      </c>
    </row>
    <row r="40" spans="1:30" ht="12.75">
      <c r="A40" s="1" t="s">
        <v>985</v>
      </c>
      <c r="V40" s="1"/>
      <c r="W40" s="1"/>
      <c r="X40" s="1"/>
      <c r="AD40">
        <v>1227.1987860394536</v>
      </c>
    </row>
    <row r="41" spans="1:30" ht="12.75">
      <c r="A41" s="1" t="s">
        <v>986</v>
      </c>
      <c r="V41" s="1"/>
      <c r="W41" s="1"/>
      <c r="X41" s="1"/>
      <c r="AD41">
        <v>1097.0115624073524</v>
      </c>
    </row>
    <row r="42" spans="1:30" ht="12.75">
      <c r="A42" s="1" t="s">
        <v>987</v>
      </c>
      <c r="B42" s="1"/>
    </row>
    <row r="43" spans="1:30" ht="12.75">
      <c r="A43" s="1" t="s">
        <v>988</v>
      </c>
      <c r="B43" s="1"/>
    </row>
    <row r="44" spans="1:30" ht="12.75">
      <c r="A44" s="1"/>
      <c r="B44" s="1"/>
    </row>
    <row r="45" spans="1:30" ht="12.75">
      <c r="A45" s="1" t="s">
        <v>989</v>
      </c>
    </row>
    <row r="46" spans="1:30" ht="12.75">
      <c r="A46" s="1" t="s">
        <v>990</v>
      </c>
    </row>
    <row r="47" spans="1:30" ht="12.75">
      <c r="A47" s="1"/>
    </row>
    <row r="48" spans="1:30" ht="12.75">
      <c r="A48" s="1" t="s">
        <v>991</v>
      </c>
    </row>
    <row r="49" spans="1:3" ht="12.75">
      <c r="A49" s="1" t="s">
        <v>992</v>
      </c>
    </row>
    <row r="50" spans="1:3" ht="12.75">
      <c r="A50" s="1" t="s">
        <v>17</v>
      </c>
      <c r="B50" s="1">
        <v>5.01</v>
      </c>
    </row>
    <row r="51" spans="1:3" ht="12.75">
      <c r="A51" s="1" t="s">
        <v>19</v>
      </c>
      <c r="B51" s="1">
        <v>5.01</v>
      </c>
    </row>
    <row r="52" spans="1:3" ht="12.75">
      <c r="A52" s="1" t="s">
        <v>22</v>
      </c>
      <c r="B52" s="1">
        <v>4.62</v>
      </c>
      <c r="C52" s="1" t="s">
        <v>993</v>
      </c>
    </row>
    <row r="53" spans="1:3" ht="12.75">
      <c r="A53" s="1" t="s">
        <v>23</v>
      </c>
      <c r="B53" s="1">
        <v>4.55</v>
      </c>
      <c r="C53" s="1" t="s">
        <v>994</v>
      </c>
    </row>
    <row r="54" spans="1:3" ht="12.75">
      <c r="A54" s="1" t="s">
        <v>24</v>
      </c>
      <c r="B54" s="1">
        <v>4.62</v>
      </c>
    </row>
    <row r="55" spans="1:3" ht="12.75">
      <c r="A55" s="1" t="s">
        <v>25</v>
      </c>
      <c r="B55" s="1">
        <v>6.01</v>
      </c>
      <c r="C55" s="1" t="s">
        <v>995</v>
      </c>
    </row>
    <row r="56" spans="1:3" ht="12.75">
      <c r="A56" s="1" t="s">
        <v>26</v>
      </c>
      <c r="B56" s="1">
        <v>5.81</v>
      </c>
    </row>
    <row r="57" spans="1:3" ht="12.75">
      <c r="A57" s="1" t="s">
        <v>28</v>
      </c>
      <c r="B57" s="1">
        <v>6.65</v>
      </c>
      <c r="C57" s="1" t="s">
        <v>996</v>
      </c>
    </row>
    <row r="58" spans="1:3" ht="12.75">
      <c r="A58" s="1" t="s">
        <v>30</v>
      </c>
      <c r="B58" s="1">
        <v>6.74</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51"/>
  <sheetViews>
    <sheetView workbookViewId="0"/>
  </sheetViews>
  <sheetFormatPr defaultColWidth="14.42578125" defaultRowHeight="15.75" customHeight="1"/>
  <sheetData>
    <row r="3" spans="1:15" ht="15.75" customHeight="1">
      <c r="A3" s="1" t="s">
        <v>772</v>
      </c>
    </row>
    <row r="4" spans="1:15" ht="15.75" customHeight="1">
      <c r="A4" s="1">
        <v>1.6</v>
      </c>
      <c r="B4" s="1" t="s">
        <v>773</v>
      </c>
    </row>
    <row r="5" spans="1:15" ht="15.75" customHeight="1">
      <c r="A5" s="1" t="s">
        <v>774</v>
      </c>
      <c r="E5" s="1"/>
    </row>
    <row r="6" spans="1:15" ht="15.75" customHeight="1">
      <c r="A6">
        <f>PI()*A4</f>
        <v>5.026548245743669</v>
      </c>
      <c r="B6" s="1" t="s">
        <v>773</v>
      </c>
      <c r="E6" s="1" t="s">
        <v>775</v>
      </c>
      <c r="J6" s="1" t="s">
        <v>776</v>
      </c>
    </row>
    <row r="7" spans="1:15" ht="15.75" customHeight="1">
      <c r="E7" s="1" t="s">
        <v>777</v>
      </c>
      <c r="G7" s="1"/>
      <c r="H7" s="1" t="s">
        <v>778</v>
      </c>
      <c r="J7" s="1" t="s">
        <v>779</v>
      </c>
    </row>
    <row r="8" spans="1:15" ht="15.75" customHeight="1">
      <c r="A8" s="1" t="s">
        <v>780</v>
      </c>
      <c r="B8" s="1">
        <v>20</v>
      </c>
      <c r="C8" s="1" t="s">
        <v>63</v>
      </c>
      <c r="E8" s="1" t="s">
        <v>781</v>
      </c>
      <c r="F8" s="1">
        <v>0.45</v>
      </c>
      <c r="G8" s="8" t="s">
        <v>782</v>
      </c>
      <c r="H8">
        <f>F10+273.15</f>
        <v>294.14999999999998</v>
      </c>
      <c r="I8" s="1" t="s">
        <v>27</v>
      </c>
      <c r="J8" s="1" t="s">
        <v>783</v>
      </c>
      <c r="L8">
        <f>B9*F8</f>
        <v>31.5</v>
      </c>
      <c r="M8" s="1" t="s">
        <v>63</v>
      </c>
    </row>
    <row r="9" spans="1:15" ht="15.75" customHeight="1">
      <c r="A9" s="1" t="s">
        <v>784</v>
      </c>
      <c r="B9" s="1">
        <v>70</v>
      </c>
      <c r="C9" s="1" t="s">
        <v>63</v>
      </c>
      <c r="E9" s="1" t="s">
        <v>785</v>
      </c>
      <c r="F9" s="1">
        <v>6.8045999999999995E-2</v>
      </c>
      <c r="G9" s="8" t="s">
        <v>36</v>
      </c>
      <c r="H9">
        <f>0.08206</f>
        <v>8.2059999999999994E-2</v>
      </c>
      <c r="I9" s="1" t="s">
        <v>786</v>
      </c>
      <c r="J9" s="1" t="s">
        <v>997</v>
      </c>
    </row>
    <row r="10" spans="1:15" ht="15.75" customHeight="1">
      <c r="A10" s="1" t="s">
        <v>788</v>
      </c>
      <c r="B10" s="1">
        <v>40</v>
      </c>
      <c r="C10" s="1" t="s">
        <v>789</v>
      </c>
      <c r="E10" s="1" t="s">
        <v>790</v>
      </c>
      <c r="F10" s="1">
        <v>21</v>
      </c>
      <c r="G10" s="8" t="s">
        <v>32</v>
      </c>
      <c r="H10">
        <f>(5*F9)+1</f>
        <v>1.34023</v>
      </c>
      <c r="I10" s="1" t="s">
        <v>791</v>
      </c>
      <c r="J10">
        <f>-3.63/100</f>
        <v>-3.6299999999999999E-2</v>
      </c>
      <c r="L10">
        <f>(J10*70)</f>
        <v>-2.5409999999999999</v>
      </c>
      <c r="M10" s="1" t="s">
        <v>792</v>
      </c>
    </row>
    <row r="11" spans="1:15" ht="15.75" customHeight="1">
      <c r="A11" s="1" t="s">
        <v>793</v>
      </c>
      <c r="B11" s="1">
        <v>-3.63</v>
      </c>
      <c r="C11" s="1" t="s">
        <v>794</v>
      </c>
      <c r="G11" s="8" t="s">
        <v>400</v>
      </c>
      <c r="H11" s="1">
        <f>F8*(B9/1000)</f>
        <v>3.1500000000000007E-2</v>
      </c>
      <c r="I11" s="1" t="s">
        <v>28</v>
      </c>
      <c r="J11" s="1" t="s">
        <v>795</v>
      </c>
      <c r="M11" s="1"/>
      <c r="N11" s="1"/>
      <c r="O11" s="1"/>
    </row>
    <row r="12" spans="1:15" ht="15.75" customHeight="1">
      <c r="G12" s="8" t="s">
        <v>796</v>
      </c>
      <c r="H12">
        <f>(H10*H11)/(H9*H8)</f>
        <v>1.7489988482451435E-3</v>
      </c>
      <c r="I12" s="1" t="s">
        <v>797</v>
      </c>
      <c r="J12" s="1" t="s">
        <v>798</v>
      </c>
      <c r="M12" s="1"/>
      <c r="N12" s="1"/>
      <c r="O12" s="1"/>
    </row>
    <row r="13" spans="1:15" ht="15.75" customHeight="1">
      <c r="H13">
        <f>H12*10^3</f>
        <v>1.7489988482451435</v>
      </c>
      <c r="I13" s="1" t="s">
        <v>799</v>
      </c>
      <c r="J13" s="1" t="s">
        <v>800</v>
      </c>
      <c r="K13">
        <f>1.14</f>
        <v>1.1399999999999999</v>
      </c>
      <c r="L13" s="1" t="s">
        <v>801</v>
      </c>
    </row>
    <row r="14" spans="1:15" ht="15.75" customHeight="1">
      <c r="I14" s="1"/>
      <c r="J14" s="1" t="s">
        <v>802</v>
      </c>
      <c r="K14">
        <f>1/(1*10^6)</f>
        <v>9.9999999999999995E-7</v>
      </c>
    </row>
    <row r="15" spans="1:15" ht="15.75" customHeight="1">
      <c r="A15" s="1" t="s">
        <v>803</v>
      </c>
      <c r="J15" s="1" t="s">
        <v>804</v>
      </c>
      <c r="K15">
        <f>1000</f>
        <v>1000</v>
      </c>
    </row>
    <row r="16" spans="1:15" ht="15.75" customHeight="1">
      <c r="A16" s="1" t="s">
        <v>805</v>
      </c>
      <c r="K16">
        <f>K13*K14*K15</f>
        <v>1.14E-3</v>
      </c>
      <c r="L16" s="1" t="s">
        <v>56</v>
      </c>
    </row>
    <row r="17" spans="1:12" ht="15.75" customHeight="1">
      <c r="A17" s="1" t="s">
        <v>806</v>
      </c>
      <c r="K17">
        <f>L10*K16</f>
        <v>-2.8967399999999996E-3</v>
      </c>
      <c r="L17" s="1" t="s">
        <v>807</v>
      </c>
    </row>
    <row r="18" spans="1:12" ht="15.75" customHeight="1">
      <c r="A18" s="1" t="s">
        <v>808</v>
      </c>
      <c r="J18" s="1" t="s">
        <v>809</v>
      </c>
      <c r="K18" s="1">
        <v>28.01</v>
      </c>
      <c r="L18" s="1" t="s">
        <v>810</v>
      </c>
    </row>
    <row r="19" spans="1:12" ht="15.75" customHeight="1">
      <c r="K19">
        <f>K17/K18</f>
        <v>-1.0341806497679398E-4</v>
      </c>
      <c r="L19" s="1" t="s">
        <v>811</v>
      </c>
    </row>
    <row r="20" spans="1:12" ht="15.75" customHeight="1">
      <c r="K20">
        <f>K19*10^3</f>
        <v>-0.10341806497679398</v>
      </c>
      <c r="L20" s="1" t="s">
        <v>812</v>
      </c>
    </row>
    <row r="21" spans="1:12" ht="15.75" customHeight="1">
      <c r="J21" s="1" t="s">
        <v>813</v>
      </c>
      <c r="K21">
        <f>40*(1*10^-4)</f>
        <v>4.0000000000000001E-3</v>
      </c>
      <c r="L21" s="1" t="s">
        <v>814</v>
      </c>
    </row>
    <row r="22" spans="1:12" ht="15.75" customHeight="1">
      <c r="K22" s="140">
        <f>K20/K21</f>
        <v>-25.854516244198496</v>
      </c>
      <c r="L22" s="1" t="s">
        <v>815</v>
      </c>
    </row>
    <row r="23" spans="1:12" ht="15.75" customHeight="1">
      <c r="D23" s="1" t="s">
        <v>816</v>
      </c>
      <c r="E23" s="1" t="s">
        <v>817</v>
      </c>
      <c r="G23" s="1" t="s">
        <v>818</v>
      </c>
      <c r="H23" s="1" t="s">
        <v>819</v>
      </c>
    </row>
    <row r="24" spans="1:12" ht="15.75" customHeight="1">
      <c r="D24" s="1">
        <v>1</v>
      </c>
      <c r="E24" s="1">
        <v>1</v>
      </c>
      <c r="F24" s="1" t="s">
        <v>820</v>
      </c>
      <c r="G24" s="1">
        <v>28.3</v>
      </c>
      <c r="H24" s="1"/>
    </row>
    <row r="25" spans="1:12" ht="15.75" customHeight="1">
      <c r="D25">
        <f t="shared" ref="D25:D34" si="0">D24+1</f>
        <v>2</v>
      </c>
      <c r="E25" s="1">
        <v>2</v>
      </c>
      <c r="F25" s="1" t="s">
        <v>821</v>
      </c>
      <c r="G25" s="1">
        <v>1042.0999999999999</v>
      </c>
      <c r="H25" s="1">
        <v>34.1</v>
      </c>
    </row>
    <row r="26" spans="1:12" ht="15.75" customHeight="1">
      <c r="D26">
        <f t="shared" si="0"/>
        <v>3</v>
      </c>
      <c r="E26" s="1">
        <v>3</v>
      </c>
      <c r="F26" s="1" t="s">
        <v>822</v>
      </c>
      <c r="G26" s="1">
        <v>206</v>
      </c>
      <c r="H26" s="1">
        <v>442.9</v>
      </c>
    </row>
    <row r="27" spans="1:12" ht="15.75" customHeight="1">
      <c r="D27">
        <f t="shared" si="0"/>
        <v>4</v>
      </c>
      <c r="E27" s="1">
        <v>4</v>
      </c>
      <c r="F27" s="1" t="s">
        <v>823</v>
      </c>
      <c r="G27" s="1">
        <v>83.4</v>
      </c>
      <c r="H27" s="1">
        <v>883</v>
      </c>
    </row>
    <row r="28" spans="1:12" ht="15.75" customHeight="1">
      <c r="D28">
        <f t="shared" si="0"/>
        <v>5</v>
      </c>
      <c r="E28" s="1">
        <v>1</v>
      </c>
      <c r="F28" s="1" t="s">
        <v>820</v>
      </c>
      <c r="G28" s="1">
        <v>37.299999999999997</v>
      </c>
    </row>
    <row r="29" spans="1:12" ht="15.75" customHeight="1">
      <c r="D29">
        <f t="shared" si="0"/>
        <v>6</v>
      </c>
      <c r="E29" s="1">
        <v>5</v>
      </c>
      <c r="F29" s="141" t="s">
        <v>824</v>
      </c>
      <c r="G29" s="1">
        <v>178.1</v>
      </c>
      <c r="H29" s="1">
        <v>1361</v>
      </c>
    </row>
    <row r="30" spans="1:12" ht="15.75" customHeight="1">
      <c r="D30">
        <f t="shared" si="0"/>
        <v>7</v>
      </c>
      <c r="E30">
        <f>E29+1</f>
        <v>6</v>
      </c>
      <c r="F30" s="141" t="s">
        <v>825</v>
      </c>
      <c r="G30" s="1">
        <v>146.30000000000001</v>
      </c>
      <c r="H30" s="1">
        <v>1351.8</v>
      </c>
    </row>
    <row r="31" spans="1:12" ht="15.75" customHeight="1">
      <c r="D31">
        <f t="shared" si="0"/>
        <v>8</v>
      </c>
      <c r="E31" s="1">
        <v>1</v>
      </c>
      <c r="F31" s="1" t="s">
        <v>820</v>
      </c>
      <c r="G31" s="1">
        <v>44.1</v>
      </c>
    </row>
    <row r="32" spans="1:12" ht="15.75" customHeight="1">
      <c r="D32">
        <f t="shared" si="0"/>
        <v>9</v>
      </c>
      <c r="E32" s="1">
        <v>2</v>
      </c>
      <c r="F32" s="1" t="s">
        <v>821</v>
      </c>
      <c r="G32" s="1">
        <v>812.9</v>
      </c>
      <c r="H32" s="1">
        <v>49.2</v>
      </c>
    </row>
    <row r="33" spans="4:8" ht="15.75" customHeight="1">
      <c r="D33">
        <f t="shared" si="0"/>
        <v>10</v>
      </c>
      <c r="E33" s="1">
        <v>3</v>
      </c>
      <c r="F33" s="1" t="s">
        <v>822</v>
      </c>
      <c r="G33" s="1">
        <v>247.9</v>
      </c>
      <c r="H33" s="1">
        <v>446.4</v>
      </c>
    </row>
    <row r="34" spans="4:8" ht="15.75" customHeight="1">
      <c r="D34">
        <f t="shared" si="0"/>
        <v>11</v>
      </c>
      <c r="E34" s="1">
        <v>4</v>
      </c>
      <c r="F34" s="1" t="s">
        <v>823</v>
      </c>
      <c r="G34" s="1" t="s">
        <v>826</v>
      </c>
      <c r="H34" s="1" t="s">
        <v>826</v>
      </c>
    </row>
    <row r="35" spans="4:8" ht="15.75" customHeight="1">
      <c r="D35" s="1">
        <v>12</v>
      </c>
      <c r="E35" s="1">
        <v>1</v>
      </c>
      <c r="F35" s="1" t="s">
        <v>820</v>
      </c>
      <c r="G35" s="1" t="s">
        <v>826</v>
      </c>
      <c r="H35" s="1" t="s">
        <v>826</v>
      </c>
    </row>
    <row r="38" spans="4:8" ht="15.75" customHeight="1">
      <c r="D38" s="1" t="s">
        <v>827</v>
      </c>
    </row>
    <row r="39" spans="4:8" ht="12.75">
      <c r="D39" s="1" t="s">
        <v>816</v>
      </c>
      <c r="E39" s="1" t="s">
        <v>817</v>
      </c>
      <c r="G39" s="1" t="s">
        <v>818</v>
      </c>
      <c r="H39" s="1" t="s">
        <v>819</v>
      </c>
    </row>
    <row r="40" spans="4:8" ht="12.75">
      <c r="D40" s="1">
        <v>1</v>
      </c>
      <c r="E40" s="1">
        <v>1</v>
      </c>
      <c r="F40" s="1" t="s">
        <v>820</v>
      </c>
      <c r="G40" s="1">
        <v>42.3</v>
      </c>
      <c r="H40" s="1"/>
    </row>
    <row r="41" spans="4:8" ht="12.75">
      <c r="D41">
        <f t="shared" ref="D41:D50" si="1">D40+1</f>
        <v>2</v>
      </c>
      <c r="E41" s="1">
        <v>2</v>
      </c>
      <c r="F41" s="1" t="s">
        <v>821</v>
      </c>
      <c r="G41" s="1">
        <v>833.4</v>
      </c>
      <c r="H41" s="1">
        <v>43.8</v>
      </c>
    </row>
    <row r="42" spans="4:8" ht="12.75">
      <c r="D42">
        <f t="shared" si="1"/>
        <v>3</v>
      </c>
      <c r="E42" s="1">
        <v>3</v>
      </c>
      <c r="F42" s="1" t="s">
        <v>822</v>
      </c>
      <c r="G42" s="1">
        <v>212.2</v>
      </c>
      <c r="H42" s="1">
        <v>374</v>
      </c>
    </row>
    <row r="43" spans="4:8" ht="12.75">
      <c r="D43">
        <f t="shared" si="1"/>
        <v>4</v>
      </c>
      <c r="E43" s="1">
        <v>4</v>
      </c>
      <c r="F43" s="1" t="s">
        <v>823</v>
      </c>
      <c r="G43" s="1">
        <v>78.599999999999994</v>
      </c>
      <c r="H43" s="1">
        <v>657.6</v>
      </c>
    </row>
    <row r="44" spans="4:8" ht="12.75">
      <c r="D44">
        <f t="shared" si="1"/>
        <v>5</v>
      </c>
      <c r="E44" s="1">
        <v>1</v>
      </c>
      <c r="F44" s="1" t="s">
        <v>820</v>
      </c>
      <c r="G44" s="1">
        <v>42.9</v>
      </c>
    </row>
    <row r="45" spans="4:8" ht="12.75">
      <c r="D45">
        <f t="shared" si="1"/>
        <v>6</v>
      </c>
      <c r="E45" s="1">
        <v>5</v>
      </c>
      <c r="F45" s="141" t="s">
        <v>824</v>
      </c>
      <c r="G45" s="1">
        <v>142.80000000000001</v>
      </c>
      <c r="H45" s="1">
        <v>1012.8</v>
      </c>
    </row>
    <row r="46" spans="4:8" ht="12.75">
      <c r="D46">
        <f t="shared" si="1"/>
        <v>7</v>
      </c>
      <c r="E46">
        <f>E45+1</f>
        <v>6</v>
      </c>
      <c r="F46" s="141" t="s">
        <v>825</v>
      </c>
      <c r="G46" s="1">
        <v>174.4</v>
      </c>
      <c r="H46" s="1">
        <v>1127.2</v>
      </c>
    </row>
    <row r="47" spans="4:8" ht="12.75">
      <c r="D47">
        <f t="shared" si="1"/>
        <v>8</v>
      </c>
      <c r="E47" s="1">
        <v>1</v>
      </c>
      <c r="F47" s="1" t="s">
        <v>820</v>
      </c>
      <c r="G47" s="1">
        <v>50.9</v>
      </c>
    </row>
    <row r="48" spans="4:8" ht="12.75">
      <c r="D48">
        <f t="shared" si="1"/>
        <v>9</v>
      </c>
      <c r="E48" s="1">
        <v>2</v>
      </c>
      <c r="F48" s="1" t="s">
        <v>821</v>
      </c>
      <c r="G48" s="1">
        <v>722.5</v>
      </c>
      <c r="H48" s="1">
        <v>38</v>
      </c>
    </row>
    <row r="49" spans="4:8" ht="12.75">
      <c r="D49">
        <f t="shared" si="1"/>
        <v>10</v>
      </c>
      <c r="E49" s="1">
        <v>3</v>
      </c>
      <c r="F49" s="1" t="s">
        <v>822</v>
      </c>
      <c r="G49" s="1">
        <v>211.4</v>
      </c>
      <c r="H49" s="1">
        <v>348.9</v>
      </c>
    </row>
    <row r="50" spans="4:8" ht="12.75">
      <c r="D50">
        <f t="shared" si="1"/>
        <v>11</v>
      </c>
      <c r="E50" s="1">
        <v>4</v>
      </c>
      <c r="F50" s="1" t="s">
        <v>823</v>
      </c>
      <c r="G50" s="1">
        <v>83.6</v>
      </c>
      <c r="H50" s="1">
        <v>619.4</v>
      </c>
    </row>
    <row r="51" spans="4:8" ht="12.75">
      <c r="D51" s="1">
        <v>12</v>
      </c>
      <c r="E51" s="1">
        <v>1</v>
      </c>
      <c r="F51" s="1" t="s">
        <v>820</v>
      </c>
      <c r="G51" s="1">
        <v>47</v>
      </c>
      <c r="H51" s="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7"/>
  <sheetViews>
    <sheetView workbookViewId="0"/>
  </sheetViews>
  <sheetFormatPr defaultColWidth="14.42578125" defaultRowHeight="15.75" customHeight="1"/>
  <cols>
    <col min="6" max="6" width="25.140625" customWidth="1"/>
    <col min="7" max="7" width="18.85546875" customWidth="1"/>
    <col min="10" max="10" width="30" customWidth="1"/>
  </cols>
  <sheetData>
    <row r="1" spans="1:41" ht="15.75" customHeight="1">
      <c r="A1" s="114" t="s">
        <v>1</v>
      </c>
      <c r="B1" s="110" t="s">
        <v>658</v>
      </c>
      <c r="C1" s="114" t="s">
        <v>659</v>
      </c>
      <c r="D1" s="114" t="s">
        <v>660</v>
      </c>
      <c r="E1" s="114" t="s">
        <v>661</v>
      </c>
      <c r="F1" s="110" t="s">
        <v>998</v>
      </c>
      <c r="G1" s="110" t="s">
        <v>585</v>
      </c>
      <c r="H1" s="110" t="s">
        <v>999</v>
      </c>
      <c r="I1" s="114" t="s">
        <v>97</v>
      </c>
      <c r="J1" s="114" t="s">
        <v>664</v>
      </c>
      <c r="K1" s="114" t="s">
        <v>665</v>
      </c>
      <c r="L1" s="114" t="s">
        <v>666</v>
      </c>
      <c r="M1" s="114" t="s">
        <v>667</v>
      </c>
      <c r="O1" s="114"/>
      <c r="P1" s="1" t="s">
        <v>6</v>
      </c>
      <c r="Q1" s="1" t="s">
        <v>7</v>
      </c>
      <c r="R1" s="1" t="s">
        <v>8</v>
      </c>
      <c r="S1" s="1" t="s">
        <v>9</v>
      </c>
      <c r="T1" s="1" t="s">
        <v>10</v>
      </c>
      <c r="U1" s="103" t="s">
        <v>11</v>
      </c>
      <c r="V1" s="103" t="s">
        <v>397</v>
      </c>
      <c r="W1" s="103" t="s">
        <v>1000</v>
      </c>
      <c r="X1" s="1" t="s">
        <v>6</v>
      </c>
      <c r="Y1" s="1" t="s">
        <v>7</v>
      </c>
      <c r="Z1" s="1" t="s">
        <v>8</v>
      </c>
      <c r="AA1" s="1" t="s">
        <v>9</v>
      </c>
      <c r="AB1" s="1" t="s">
        <v>10</v>
      </c>
      <c r="AC1" s="103" t="s">
        <v>11</v>
      </c>
      <c r="AD1" s="103" t="s">
        <v>397</v>
      </c>
      <c r="AE1" s="103" t="s">
        <v>1000</v>
      </c>
      <c r="AK1" s="1"/>
    </row>
    <row r="2" spans="1:41" ht="15.75" customHeight="1">
      <c r="A2" s="1" t="s">
        <v>1001</v>
      </c>
    </row>
    <row r="3" spans="1:41" ht="15.75" customHeight="1">
      <c r="A3" s="110" t="s">
        <v>17</v>
      </c>
      <c r="B3" s="110" t="s">
        <v>669</v>
      </c>
      <c r="C3" s="110" t="s">
        <v>832</v>
      </c>
      <c r="D3" s="111">
        <v>4</v>
      </c>
      <c r="E3" s="127">
        <f t="shared" ref="E3:E5" si="0">D3+K3/1000</f>
        <v>4.12</v>
      </c>
      <c r="F3" s="110">
        <v>2</v>
      </c>
      <c r="G3" s="110" t="s">
        <v>1002</v>
      </c>
      <c r="H3" s="112">
        <v>11</v>
      </c>
      <c r="I3" s="112">
        <v>1</v>
      </c>
      <c r="J3" s="111">
        <v>10</v>
      </c>
      <c r="K3" s="112">
        <v>120</v>
      </c>
      <c r="L3" s="112">
        <v>10</v>
      </c>
      <c r="M3" s="112">
        <v>50</v>
      </c>
      <c r="O3" s="110" t="s">
        <v>17</v>
      </c>
      <c r="P3" s="123">
        <v>12299</v>
      </c>
      <c r="Q3" s="123">
        <v>0</v>
      </c>
      <c r="R3" s="123">
        <v>582</v>
      </c>
      <c r="S3" s="123">
        <v>552</v>
      </c>
      <c r="T3" s="1">
        <v>236</v>
      </c>
      <c r="U3">
        <f t="shared" ref="U3:U4" si="1">$V$19/R3*S3</f>
        <v>322.4742268041237</v>
      </c>
      <c r="W3" s="1"/>
      <c r="X3" s="1">
        <v>14110.2</v>
      </c>
      <c r="Y3" s="1">
        <v>0</v>
      </c>
      <c r="Z3" s="1">
        <v>533.5</v>
      </c>
      <c r="AA3" s="1">
        <v>3.1</v>
      </c>
      <c r="AB3" s="1">
        <v>466.4</v>
      </c>
      <c r="AC3">
        <f t="shared" ref="AC3:AC4" si="2">$AD$19/Z3*AA3</f>
        <v>1.9756326148078724</v>
      </c>
      <c r="AG3" s="1"/>
    </row>
    <row r="4" spans="1:41" ht="15.75" customHeight="1">
      <c r="A4" s="110" t="s">
        <v>18</v>
      </c>
      <c r="B4" s="110" t="s">
        <v>669</v>
      </c>
      <c r="C4" s="110" t="s">
        <v>832</v>
      </c>
      <c r="D4" s="111">
        <v>4</v>
      </c>
      <c r="E4" s="127">
        <f t="shared" si="0"/>
        <v>4.12</v>
      </c>
      <c r="F4" s="110">
        <v>2</v>
      </c>
      <c r="G4" s="110" t="s">
        <v>1002</v>
      </c>
      <c r="H4" s="112">
        <v>29</v>
      </c>
      <c r="I4" s="112">
        <v>1</v>
      </c>
      <c r="J4" s="111">
        <v>10</v>
      </c>
      <c r="K4" s="112">
        <v>120</v>
      </c>
      <c r="L4" s="112">
        <v>10</v>
      </c>
      <c r="M4" s="112">
        <v>50</v>
      </c>
      <c r="O4" s="110" t="s">
        <v>18</v>
      </c>
      <c r="P4" s="123">
        <v>12885</v>
      </c>
      <c r="Q4" s="123">
        <v>0</v>
      </c>
      <c r="R4" s="123">
        <v>352</v>
      </c>
      <c r="S4" s="123">
        <v>1046</v>
      </c>
      <c r="T4" s="1">
        <v>122</v>
      </c>
      <c r="U4">
        <f t="shared" si="1"/>
        <v>1010.3409090909091</v>
      </c>
      <c r="X4" s="1">
        <v>13791.1</v>
      </c>
      <c r="Y4" s="1">
        <v>0</v>
      </c>
      <c r="Z4" s="1">
        <v>379.3</v>
      </c>
      <c r="AA4" s="1">
        <v>555.29999999999995</v>
      </c>
      <c r="AB4" s="1">
        <v>300.60000000000002</v>
      </c>
      <c r="AC4">
        <f t="shared" si="2"/>
        <v>497.76430266279982</v>
      </c>
    </row>
    <row r="5" spans="1:41" ht="15.75" customHeight="1">
      <c r="A5" s="110" t="s">
        <v>19</v>
      </c>
      <c r="B5" s="110" t="s">
        <v>669</v>
      </c>
      <c r="C5" s="110" t="s">
        <v>832</v>
      </c>
      <c r="D5" s="111">
        <v>4</v>
      </c>
      <c r="E5" s="127">
        <f t="shared" si="0"/>
        <v>4.12</v>
      </c>
      <c r="F5" s="110">
        <v>2</v>
      </c>
      <c r="G5" s="110" t="s">
        <v>1003</v>
      </c>
      <c r="H5" s="112">
        <v>11</v>
      </c>
      <c r="I5" s="112">
        <v>1</v>
      </c>
      <c r="J5" s="111">
        <v>10</v>
      </c>
      <c r="K5" s="112">
        <v>120</v>
      </c>
      <c r="L5" s="112">
        <v>10</v>
      </c>
      <c r="M5" s="112">
        <v>50</v>
      </c>
      <c r="O5" s="110" t="s">
        <v>19</v>
      </c>
      <c r="P5" s="1" t="s">
        <v>1004</v>
      </c>
      <c r="Q5" s="1" t="s">
        <v>1004</v>
      </c>
      <c r="R5" s="1" t="s">
        <v>1004</v>
      </c>
      <c r="S5" s="1" t="s">
        <v>1004</v>
      </c>
      <c r="T5" s="1" t="s">
        <v>1004</v>
      </c>
      <c r="U5" s="1" t="s">
        <v>1004</v>
      </c>
      <c r="X5" s="1" t="s">
        <v>1004</v>
      </c>
      <c r="Y5" s="1" t="s">
        <v>1004</v>
      </c>
      <c r="Z5" s="1" t="s">
        <v>1004</v>
      </c>
      <c r="AA5" s="1" t="s">
        <v>1004</v>
      </c>
      <c r="AB5" s="1" t="s">
        <v>1004</v>
      </c>
      <c r="AD5" s="1"/>
      <c r="AE5" s="1"/>
      <c r="AG5" s="1"/>
      <c r="AH5" s="1"/>
      <c r="AI5" s="1"/>
      <c r="AJ5" s="1"/>
      <c r="AK5" s="1"/>
      <c r="AL5" s="1"/>
      <c r="AM5" s="1"/>
      <c r="AN5" s="1"/>
      <c r="AO5" s="1"/>
    </row>
    <row r="6" spans="1:41" ht="15.75" customHeight="1">
      <c r="A6" s="110" t="s">
        <v>20</v>
      </c>
      <c r="B6" s="110" t="s">
        <v>669</v>
      </c>
      <c r="C6" s="110" t="s">
        <v>832</v>
      </c>
      <c r="D6" s="112">
        <v>4</v>
      </c>
      <c r="E6" s="112">
        <v>4.12</v>
      </c>
      <c r="F6" s="110">
        <v>2</v>
      </c>
      <c r="G6" s="110" t="s">
        <v>1003</v>
      </c>
      <c r="H6" s="112">
        <v>29</v>
      </c>
      <c r="I6" s="112">
        <v>1</v>
      </c>
      <c r="J6" s="111">
        <v>10</v>
      </c>
      <c r="K6" s="112">
        <v>120</v>
      </c>
      <c r="L6" s="112">
        <v>10</v>
      </c>
      <c r="M6" s="112">
        <v>50</v>
      </c>
      <c r="O6" s="110" t="s">
        <v>20</v>
      </c>
      <c r="P6" s="1">
        <v>12998</v>
      </c>
      <c r="Q6" s="1">
        <v>0</v>
      </c>
      <c r="R6" s="1">
        <v>368</v>
      </c>
      <c r="S6" s="1">
        <v>946</v>
      </c>
      <c r="T6" s="1">
        <v>154</v>
      </c>
      <c r="U6">
        <f t="shared" ref="U6:U17" si="3">$V$19/R6*S6</f>
        <v>874.02173913043475</v>
      </c>
      <c r="X6" s="1">
        <v>14329.8</v>
      </c>
      <c r="Y6" s="1">
        <v>0</v>
      </c>
      <c r="Z6" s="1">
        <v>453.3</v>
      </c>
      <c r="AA6" s="1">
        <v>121.8</v>
      </c>
      <c r="AB6" s="1">
        <v>454.4</v>
      </c>
      <c r="AC6">
        <f t="shared" ref="AC6:AC17" si="4">$AD$19/Z6*AA6</f>
        <v>91.356717405691597</v>
      </c>
      <c r="AI6" s="1"/>
      <c r="AJ6" s="1"/>
      <c r="AK6" s="1"/>
      <c r="AL6" s="1"/>
      <c r="AM6" s="1"/>
      <c r="AN6" s="1"/>
      <c r="AO6" s="1"/>
    </row>
    <row r="7" spans="1:41" ht="15.75" customHeight="1">
      <c r="A7" s="110" t="s">
        <v>21</v>
      </c>
      <c r="B7" s="110" t="s">
        <v>669</v>
      </c>
      <c r="C7" s="110" t="s">
        <v>832</v>
      </c>
      <c r="D7" s="112">
        <v>4</v>
      </c>
      <c r="E7" s="112">
        <v>4.12</v>
      </c>
      <c r="F7" s="110">
        <v>2</v>
      </c>
      <c r="G7" s="110" t="s">
        <v>1005</v>
      </c>
      <c r="H7" s="112">
        <v>0</v>
      </c>
      <c r="I7" s="112">
        <v>1</v>
      </c>
      <c r="J7" s="111">
        <v>10</v>
      </c>
      <c r="K7" s="112">
        <v>120</v>
      </c>
      <c r="L7" s="112">
        <v>10</v>
      </c>
      <c r="M7" s="112">
        <v>50</v>
      </c>
      <c r="O7" s="110" t="s">
        <v>21</v>
      </c>
      <c r="P7" s="1">
        <v>12804</v>
      </c>
      <c r="Q7" s="1">
        <v>0</v>
      </c>
      <c r="R7" s="1">
        <v>363</v>
      </c>
      <c r="S7" s="1">
        <v>1041</v>
      </c>
      <c r="T7" s="1">
        <v>100</v>
      </c>
      <c r="U7">
        <f t="shared" si="3"/>
        <v>975.04132231404958</v>
      </c>
      <c r="X7" s="1">
        <v>13742.6</v>
      </c>
      <c r="Y7" s="1">
        <v>0</v>
      </c>
      <c r="Z7" s="1">
        <v>378</v>
      </c>
      <c r="AA7" s="1">
        <v>474</v>
      </c>
      <c r="AB7" s="1">
        <v>323</v>
      </c>
      <c r="AC7">
        <f t="shared" si="4"/>
        <v>426.34920634920633</v>
      </c>
    </row>
    <row r="8" spans="1:41" ht="15.75" customHeight="1">
      <c r="A8" s="110" t="s">
        <v>22</v>
      </c>
      <c r="B8" s="110" t="s">
        <v>669</v>
      </c>
      <c r="C8" s="110" t="s">
        <v>832</v>
      </c>
      <c r="D8" s="112">
        <v>4</v>
      </c>
      <c r="E8" s="112">
        <v>4.12</v>
      </c>
      <c r="F8" s="110">
        <v>2</v>
      </c>
      <c r="G8" s="110" t="s">
        <v>1005</v>
      </c>
      <c r="H8" s="112">
        <v>0</v>
      </c>
      <c r="I8" s="112">
        <v>1</v>
      </c>
      <c r="J8" s="111">
        <v>10</v>
      </c>
      <c r="K8" s="112">
        <v>120</v>
      </c>
      <c r="L8" s="112">
        <v>10</v>
      </c>
      <c r="M8" s="112">
        <v>50</v>
      </c>
      <c r="O8" s="110" t="s">
        <v>22</v>
      </c>
      <c r="P8" s="1">
        <v>13046</v>
      </c>
      <c r="Q8" s="1">
        <v>0</v>
      </c>
      <c r="R8" s="1">
        <v>358</v>
      </c>
      <c r="S8" s="1">
        <v>905</v>
      </c>
      <c r="T8" s="1">
        <v>162</v>
      </c>
      <c r="U8">
        <f t="shared" si="3"/>
        <v>859.49720670391059</v>
      </c>
      <c r="X8" s="1">
        <v>13715</v>
      </c>
      <c r="Y8" s="1">
        <v>0</v>
      </c>
      <c r="Z8" s="1">
        <v>401</v>
      </c>
      <c r="AA8" s="1">
        <v>414</v>
      </c>
      <c r="AB8" s="1">
        <v>339</v>
      </c>
      <c r="AC8">
        <f t="shared" si="4"/>
        <v>351.0224438902743</v>
      </c>
    </row>
    <row r="9" spans="1:41" ht="15.75" customHeight="1">
      <c r="A9" s="110" t="s">
        <v>23</v>
      </c>
      <c r="B9" s="110" t="s">
        <v>675</v>
      </c>
      <c r="C9" s="110" t="s">
        <v>832</v>
      </c>
      <c r="D9" s="111">
        <v>4</v>
      </c>
      <c r="E9" s="127">
        <f>D9+K9/1000</f>
        <v>4.12</v>
      </c>
      <c r="F9" s="110">
        <v>4</v>
      </c>
      <c r="G9" s="110" t="s">
        <v>1002</v>
      </c>
      <c r="H9" s="112">
        <v>29</v>
      </c>
      <c r="I9" s="112">
        <v>2</v>
      </c>
      <c r="J9" s="111">
        <v>10</v>
      </c>
      <c r="K9" s="112">
        <v>120</v>
      </c>
      <c r="L9" s="112">
        <v>10</v>
      </c>
      <c r="M9" s="112">
        <v>50</v>
      </c>
      <c r="O9" s="110" t="s">
        <v>23</v>
      </c>
      <c r="P9" s="123">
        <v>12334</v>
      </c>
      <c r="Q9" s="1">
        <v>0</v>
      </c>
      <c r="R9" s="123">
        <v>363</v>
      </c>
      <c r="S9" s="123">
        <v>1046</v>
      </c>
      <c r="T9" s="1">
        <v>100</v>
      </c>
      <c r="U9">
        <f t="shared" si="3"/>
        <v>979.72451790633613</v>
      </c>
      <c r="X9" s="1">
        <v>12988</v>
      </c>
      <c r="Y9" s="1">
        <v>0</v>
      </c>
      <c r="Z9" s="1">
        <v>361</v>
      </c>
      <c r="AA9" s="1">
        <v>668</v>
      </c>
      <c r="AB9" s="1">
        <v>228</v>
      </c>
      <c r="AC9">
        <f t="shared" si="4"/>
        <v>629.1412742382272</v>
      </c>
      <c r="AD9" s="1"/>
      <c r="AE9" s="1"/>
      <c r="AF9" s="1"/>
      <c r="AG9" s="1"/>
      <c r="AH9" s="1"/>
      <c r="AI9" s="1"/>
      <c r="AJ9" s="1"/>
    </row>
    <row r="10" spans="1:41" ht="15.75" customHeight="1">
      <c r="A10" s="110" t="s">
        <v>24</v>
      </c>
      <c r="B10" s="110" t="s">
        <v>675</v>
      </c>
      <c r="C10" s="110" t="s">
        <v>832</v>
      </c>
      <c r="D10" s="112">
        <v>4</v>
      </c>
      <c r="E10" s="112">
        <v>4.12</v>
      </c>
      <c r="F10" s="110">
        <v>4</v>
      </c>
      <c r="G10" s="110" t="s">
        <v>1003</v>
      </c>
      <c r="H10" s="112">
        <v>0</v>
      </c>
      <c r="I10" s="112">
        <v>2</v>
      </c>
      <c r="J10" s="111">
        <v>10</v>
      </c>
      <c r="K10" s="112">
        <v>120</v>
      </c>
      <c r="L10" s="112">
        <v>10</v>
      </c>
      <c r="M10" s="112">
        <v>50</v>
      </c>
      <c r="O10" s="110" t="s">
        <v>24</v>
      </c>
      <c r="P10" s="1">
        <v>11951</v>
      </c>
      <c r="Q10" s="1">
        <v>0</v>
      </c>
      <c r="R10" s="1">
        <v>418</v>
      </c>
      <c r="S10" s="1">
        <v>997</v>
      </c>
      <c r="T10" s="1">
        <v>110</v>
      </c>
      <c r="U10">
        <f t="shared" si="3"/>
        <v>810.95693779904309</v>
      </c>
      <c r="X10" s="1">
        <v>12366</v>
      </c>
      <c r="Y10" s="1">
        <v>0</v>
      </c>
      <c r="Z10" s="1">
        <v>434</v>
      </c>
      <c r="AA10" s="1">
        <v>633</v>
      </c>
      <c r="AB10" s="1">
        <v>235</v>
      </c>
      <c r="AC10">
        <f t="shared" si="4"/>
        <v>495.8986175115208</v>
      </c>
    </row>
    <row r="11" spans="1:41" ht="15.75" customHeight="1">
      <c r="A11" s="110" t="s">
        <v>25</v>
      </c>
      <c r="B11" s="110" t="s">
        <v>675</v>
      </c>
      <c r="C11" s="110" t="s">
        <v>832</v>
      </c>
      <c r="D11" s="112">
        <v>4</v>
      </c>
      <c r="E11" s="112">
        <v>4.12</v>
      </c>
      <c r="F11" s="110">
        <v>4</v>
      </c>
      <c r="G11" s="110" t="s">
        <v>1005</v>
      </c>
      <c r="H11" s="112">
        <v>11</v>
      </c>
      <c r="I11" s="112">
        <v>2</v>
      </c>
      <c r="J11" s="111">
        <v>10</v>
      </c>
      <c r="K11" s="112">
        <v>120</v>
      </c>
      <c r="L11" s="112">
        <v>10</v>
      </c>
      <c r="M11" s="112">
        <v>50</v>
      </c>
      <c r="O11" s="110" t="s">
        <v>25</v>
      </c>
      <c r="P11" s="1">
        <v>12987</v>
      </c>
      <c r="Q11" s="1">
        <v>0</v>
      </c>
      <c r="R11" s="1">
        <v>389</v>
      </c>
      <c r="S11" s="1">
        <v>690</v>
      </c>
      <c r="T11" s="1">
        <v>211</v>
      </c>
      <c r="U11">
        <f t="shared" si="3"/>
        <v>603.08483290488425</v>
      </c>
      <c r="X11" s="1">
        <v>12534</v>
      </c>
      <c r="Y11" s="1">
        <v>0</v>
      </c>
      <c r="Z11" s="1">
        <v>433</v>
      </c>
      <c r="AA11" s="1">
        <v>614</v>
      </c>
      <c r="AB11" s="1">
        <v>238</v>
      </c>
      <c r="AC11">
        <f t="shared" si="4"/>
        <v>482.12471131639722</v>
      </c>
      <c r="AE11" s="1"/>
    </row>
    <row r="12" spans="1:41" ht="15.75" customHeight="1">
      <c r="A12" s="110" t="s">
        <v>26</v>
      </c>
      <c r="B12" s="110" t="s">
        <v>675</v>
      </c>
      <c r="C12" s="110" t="s">
        <v>832</v>
      </c>
      <c r="D12" s="112">
        <v>4</v>
      </c>
      <c r="E12" s="112">
        <v>4.12</v>
      </c>
      <c r="F12" s="110">
        <v>4</v>
      </c>
      <c r="G12" s="110" t="s">
        <v>1005</v>
      </c>
      <c r="H12" s="112">
        <v>29</v>
      </c>
      <c r="I12" s="112">
        <v>2</v>
      </c>
      <c r="J12" s="111">
        <v>10</v>
      </c>
      <c r="K12" s="112">
        <v>120</v>
      </c>
      <c r="L12" s="112">
        <v>10</v>
      </c>
      <c r="M12" s="112">
        <v>50</v>
      </c>
      <c r="O12" s="110" t="s">
        <v>26</v>
      </c>
      <c r="P12" s="1">
        <v>13760</v>
      </c>
      <c r="Q12" s="1">
        <v>0</v>
      </c>
      <c r="R12" s="1">
        <v>394</v>
      </c>
      <c r="S12" s="1">
        <v>452</v>
      </c>
      <c r="T12" s="1">
        <v>303</v>
      </c>
      <c r="U12">
        <f t="shared" si="3"/>
        <v>390.05076142131981</v>
      </c>
      <c r="X12" s="1">
        <v>13066</v>
      </c>
      <c r="Y12" s="1">
        <v>0</v>
      </c>
      <c r="Z12" s="1">
        <v>569</v>
      </c>
      <c r="AA12" s="1">
        <v>0</v>
      </c>
      <c r="AB12" s="1">
        <v>446</v>
      </c>
      <c r="AC12">
        <f t="shared" si="4"/>
        <v>0</v>
      </c>
      <c r="AE12" s="1"/>
    </row>
    <row r="13" spans="1:41" ht="15.75" customHeight="1">
      <c r="A13" s="110" t="s">
        <v>27</v>
      </c>
      <c r="B13" s="1" t="s">
        <v>678</v>
      </c>
      <c r="C13" s="110" t="s">
        <v>832</v>
      </c>
      <c r="D13" s="111">
        <v>4</v>
      </c>
      <c r="E13" s="127">
        <f t="shared" ref="E13:E14" si="5">D13+K13/1000</f>
        <v>4.12</v>
      </c>
      <c r="F13" s="110">
        <v>6</v>
      </c>
      <c r="G13" s="110" t="s">
        <v>1002</v>
      </c>
      <c r="H13" s="112">
        <v>0</v>
      </c>
      <c r="I13" s="112">
        <v>3</v>
      </c>
      <c r="J13" s="111">
        <v>10</v>
      </c>
      <c r="K13" s="112">
        <v>120</v>
      </c>
      <c r="L13" s="112">
        <v>10</v>
      </c>
      <c r="M13" s="112">
        <v>50</v>
      </c>
      <c r="O13" s="110" t="s">
        <v>27</v>
      </c>
      <c r="P13" s="103">
        <v>12180</v>
      </c>
      <c r="Q13" s="1">
        <v>0</v>
      </c>
      <c r="R13" s="103">
        <v>331</v>
      </c>
      <c r="S13" s="103">
        <v>1064</v>
      </c>
      <c r="T13" s="1">
        <v>91</v>
      </c>
      <c r="U13">
        <f t="shared" si="3"/>
        <v>1092.9305135951663</v>
      </c>
      <c r="X13" s="1">
        <v>12244</v>
      </c>
      <c r="Y13" s="1">
        <v>0</v>
      </c>
      <c r="Z13" s="1">
        <v>343</v>
      </c>
      <c r="AA13" s="1">
        <v>951</v>
      </c>
      <c r="AB13" s="1">
        <v>130</v>
      </c>
      <c r="AC13">
        <f t="shared" si="4"/>
        <v>942.68221574344022</v>
      </c>
      <c r="AD13" s="1"/>
      <c r="AK13" s="1"/>
      <c r="AM13" s="1"/>
      <c r="AO13" s="1"/>
    </row>
    <row r="14" spans="1:41" ht="15.75" customHeight="1">
      <c r="A14" s="110" t="s">
        <v>28</v>
      </c>
      <c r="B14" s="1" t="s">
        <v>678</v>
      </c>
      <c r="C14" s="110" t="s">
        <v>832</v>
      </c>
      <c r="D14" s="111">
        <v>4</v>
      </c>
      <c r="E14" s="127">
        <f t="shared" si="5"/>
        <v>4.12</v>
      </c>
      <c r="F14" s="110">
        <v>6</v>
      </c>
      <c r="G14" s="110" t="s">
        <v>1002</v>
      </c>
      <c r="H14" s="112">
        <v>0</v>
      </c>
      <c r="I14" s="112">
        <v>3</v>
      </c>
      <c r="J14" s="111">
        <v>10</v>
      </c>
      <c r="K14" s="112">
        <v>120</v>
      </c>
      <c r="L14" s="112">
        <v>10</v>
      </c>
      <c r="M14" s="112">
        <v>50</v>
      </c>
      <c r="O14" s="110" t="s">
        <v>28</v>
      </c>
      <c r="P14" s="103">
        <v>12750</v>
      </c>
      <c r="Q14" s="1">
        <v>0</v>
      </c>
      <c r="R14" s="1">
        <v>363</v>
      </c>
      <c r="S14" s="1">
        <v>828</v>
      </c>
      <c r="T14" s="1">
        <v>161</v>
      </c>
      <c r="U14">
        <f t="shared" si="3"/>
        <v>775.53719008264466</v>
      </c>
      <c r="X14" s="1">
        <v>13011</v>
      </c>
      <c r="Y14" s="1">
        <v>0</v>
      </c>
      <c r="Z14" s="1">
        <v>441</v>
      </c>
      <c r="AA14" s="1">
        <v>432</v>
      </c>
      <c r="AB14" s="1">
        <v>295</v>
      </c>
      <c r="AC14">
        <f t="shared" si="4"/>
        <v>333.0612244897959</v>
      </c>
      <c r="AD14" s="1"/>
      <c r="AK14" s="1"/>
      <c r="AM14" s="1"/>
      <c r="AO14" s="1"/>
    </row>
    <row r="15" spans="1:41" ht="15.75" customHeight="1">
      <c r="A15" s="110" t="s">
        <v>29</v>
      </c>
      <c r="B15" s="1" t="s">
        <v>678</v>
      </c>
      <c r="C15" s="110" t="s">
        <v>832</v>
      </c>
      <c r="D15" s="112">
        <v>4</v>
      </c>
      <c r="E15" s="112">
        <v>4.12</v>
      </c>
      <c r="F15" s="110">
        <v>6</v>
      </c>
      <c r="G15" s="110" t="s">
        <v>1003</v>
      </c>
      <c r="H15" s="112">
        <v>29</v>
      </c>
      <c r="I15" s="112">
        <v>3</v>
      </c>
      <c r="J15" s="111">
        <v>10</v>
      </c>
      <c r="K15" s="112">
        <v>120</v>
      </c>
      <c r="L15" s="112">
        <v>10</v>
      </c>
      <c r="M15" s="112">
        <v>50</v>
      </c>
      <c r="O15" s="110" t="s">
        <v>29</v>
      </c>
      <c r="P15" s="1">
        <v>11988</v>
      </c>
      <c r="Q15" s="1">
        <v>0</v>
      </c>
      <c r="R15" s="1">
        <v>367</v>
      </c>
      <c r="S15" s="1">
        <v>975</v>
      </c>
      <c r="T15" s="1">
        <v>119</v>
      </c>
      <c r="U15">
        <f t="shared" si="3"/>
        <v>903.26975476839243</v>
      </c>
      <c r="X15" s="1">
        <v>12090</v>
      </c>
      <c r="Y15" s="1">
        <v>0</v>
      </c>
      <c r="Z15" s="1">
        <v>372</v>
      </c>
      <c r="AA15" s="1">
        <v>698</v>
      </c>
      <c r="AB15" s="1">
        <v>201</v>
      </c>
      <c r="AC15">
        <f t="shared" si="4"/>
        <v>637.95698924731175</v>
      </c>
      <c r="AE15" s="1"/>
    </row>
    <row r="16" spans="1:41" ht="15.75" customHeight="1">
      <c r="A16" s="110" t="s">
        <v>30</v>
      </c>
      <c r="B16" s="1" t="s">
        <v>678</v>
      </c>
      <c r="C16" s="110" t="s">
        <v>832</v>
      </c>
      <c r="D16" s="112">
        <v>4</v>
      </c>
      <c r="E16" s="112">
        <v>4.12</v>
      </c>
      <c r="F16" s="110">
        <v>6</v>
      </c>
      <c r="G16" s="110" t="s">
        <v>1005</v>
      </c>
      <c r="H16" s="112">
        <v>11</v>
      </c>
      <c r="I16" s="112">
        <v>3</v>
      </c>
      <c r="J16" s="111">
        <v>10</v>
      </c>
      <c r="K16" s="112">
        <v>120</v>
      </c>
      <c r="L16" s="112">
        <v>10</v>
      </c>
      <c r="M16" s="112">
        <v>50</v>
      </c>
      <c r="O16" s="110" t="s">
        <v>30</v>
      </c>
      <c r="P16" s="1">
        <v>12665</v>
      </c>
      <c r="Q16" s="1">
        <v>0</v>
      </c>
      <c r="R16" s="1">
        <v>345</v>
      </c>
      <c r="S16" s="1">
        <v>981</v>
      </c>
      <c r="T16" s="1">
        <v>106</v>
      </c>
      <c r="U16">
        <f t="shared" si="3"/>
        <v>966.78260869565224</v>
      </c>
      <c r="X16" s="1">
        <v>12810</v>
      </c>
      <c r="Y16" s="1">
        <v>0</v>
      </c>
      <c r="Z16" s="1">
        <v>347</v>
      </c>
      <c r="AA16" s="1">
        <v>753</v>
      </c>
      <c r="AB16" s="1">
        <v>195</v>
      </c>
      <c r="AC16">
        <f t="shared" si="4"/>
        <v>737.80979827089334</v>
      </c>
      <c r="AE16" s="1"/>
    </row>
    <row r="17" spans="1:41" ht="15.75" customHeight="1">
      <c r="A17" s="110" t="s">
        <v>31</v>
      </c>
      <c r="B17" s="1" t="s">
        <v>678</v>
      </c>
      <c r="C17" s="110" t="s">
        <v>832</v>
      </c>
      <c r="D17" s="112">
        <v>4</v>
      </c>
      <c r="E17" s="112">
        <v>4.12</v>
      </c>
      <c r="F17" s="110">
        <v>6</v>
      </c>
      <c r="G17" s="110" t="s">
        <v>1005</v>
      </c>
      <c r="H17" s="112">
        <v>29</v>
      </c>
      <c r="I17" s="112">
        <v>3</v>
      </c>
      <c r="J17" s="111">
        <v>10</v>
      </c>
      <c r="K17" s="112">
        <v>120</v>
      </c>
      <c r="L17" s="112">
        <v>10</v>
      </c>
      <c r="M17" s="112">
        <v>50</v>
      </c>
      <c r="O17" s="110" t="s">
        <v>31</v>
      </c>
      <c r="P17" s="1">
        <v>11475.4</v>
      </c>
      <c r="Q17" s="1">
        <v>0</v>
      </c>
      <c r="R17" s="1">
        <v>361.5</v>
      </c>
      <c r="S17" s="1">
        <v>1004.7</v>
      </c>
      <c r="T17" s="1">
        <v>93.7</v>
      </c>
      <c r="U17">
        <f t="shared" si="3"/>
        <v>944.94605809128632</v>
      </c>
      <c r="X17" s="1">
        <v>12619</v>
      </c>
      <c r="Y17" s="1">
        <v>0</v>
      </c>
      <c r="Z17" s="1">
        <v>358</v>
      </c>
      <c r="AA17" s="1">
        <v>781</v>
      </c>
      <c r="AB17" s="1">
        <v>195</v>
      </c>
      <c r="AC17">
        <f t="shared" si="4"/>
        <v>741.73184357541902</v>
      </c>
      <c r="AE17" s="1"/>
    </row>
    <row r="18" spans="1:41" ht="15.75" customHeight="1">
      <c r="P18" s="1" t="s">
        <v>1006</v>
      </c>
      <c r="X18" s="1" t="s">
        <v>1007</v>
      </c>
    </row>
    <row r="19" spans="1:41" ht="15.75" customHeight="1">
      <c r="A19" s="114" t="s">
        <v>962</v>
      </c>
      <c r="B19" s="114"/>
      <c r="C19" s="114"/>
      <c r="D19" s="114"/>
      <c r="E19" s="114"/>
      <c r="F19" s="114"/>
      <c r="G19" s="110"/>
      <c r="H19" s="110" t="s">
        <v>1008</v>
      </c>
      <c r="I19" s="114"/>
      <c r="J19" s="110" t="s">
        <v>889</v>
      </c>
      <c r="K19" s="164">
        <f>SUM(K3:K8)</f>
        <v>720</v>
      </c>
      <c r="M19" s="114"/>
      <c r="P19" s="1"/>
      <c r="Q19" s="1"/>
      <c r="R19" s="1"/>
      <c r="S19" s="1"/>
      <c r="U19" s="103"/>
      <c r="V19" s="103">
        <v>340</v>
      </c>
      <c r="W19" s="103"/>
      <c r="X19" s="103"/>
      <c r="Y19" s="1"/>
      <c r="Z19" s="1"/>
      <c r="AA19" s="1"/>
      <c r="AB19" s="103"/>
      <c r="AC19" s="1"/>
      <c r="AD19" s="1">
        <v>340</v>
      </c>
      <c r="AF19" s="103"/>
      <c r="AG19" s="165">
        <v>1.9756326148078724</v>
      </c>
      <c r="AH19" s="103"/>
      <c r="AI19" s="1"/>
      <c r="AK19" s="1"/>
      <c r="AL19" s="1"/>
      <c r="AM19" s="1"/>
      <c r="AN19" s="1"/>
      <c r="AO19" s="1"/>
    </row>
    <row r="20" spans="1:41" ht="15.75" customHeight="1">
      <c r="J20" s="1" t="s">
        <v>963</v>
      </c>
      <c r="K20">
        <f>SUM(K9:K12)</f>
        <v>480</v>
      </c>
      <c r="Y20" s="1"/>
      <c r="Z20" s="1"/>
      <c r="AA20" s="1"/>
      <c r="AG20">
        <v>497.76430266279982</v>
      </c>
    </row>
    <row r="21" spans="1:41" ht="15.75" customHeight="1">
      <c r="J21" s="1" t="s">
        <v>964</v>
      </c>
      <c r="K21">
        <f>SUM(K13:K17)</f>
        <v>600</v>
      </c>
      <c r="Y21" s="1"/>
      <c r="Z21" s="1"/>
      <c r="AA21" s="1"/>
    </row>
    <row r="22" spans="1:41" ht="15.75" customHeight="1">
      <c r="A22" s="1" t="s">
        <v>803</v>
      </c>
      <c r="J22" s="1" t="s">
        <v>966</v>
      </c>
      <c r="K22">
        <f>SUM(K3:K17)</f>
        <v>1800</v>
      </c>
      <c r="AG22">
        <v>91.356717405691597</v>
      </c>
    </row>
    <row r="23" spans="1:41" ht="15.75" customHeight="1">
      <c r="A23" s="1" t="s">
        <v>1009</v>
      </c>
      <c r="K23" s="125" t="s">
        <v>968</v>
      </c>
      <c r="L23" s="114"/>
      <c r="M23" s="114"/>
      <c r="AG23">
        <v>426.34920634920633</v>
      </c>
    </row>
    <row r="24" spans="1:41" ht="15.75" customHeight="1">
      <c r="A24" s="1" t="s">
        <v>1010</v>
      </c>
      <c r="K24" s="114" t="s">
        <v>970</v>
      </c>
      <c r="L24" s="114" t="s">
        <v>47</v>
      </c>
      <c r="M24" s="114" t="s">
        <v>300</v>
      </c>
      <c r="AG24">
        <v>351.0224438902743</v>
      </c>
    </row>
    <row r="25" spans="1:41" ht="15.75" customHeight="1">
      <c r="A25" s="1" t="s">
        <v>1011</v>
      </c>
      <c r="D25" s="1"/>
      <c r="J25" s="1"/>
      <c r="K25" s="125" t="s">
        <v>301</v>
      </c>
      <c r="L25" s="126">
        <v>0.5</v>
      </c>
      <c r="AG25">
        <v>629.1412742382272</v>
      </c>
    </row>
    <row r="26" spans="1:41" ht="15.75" customHeight="1">
      <c r="A26" s="1" t="s">
        <v>1012</v>
      </c>
      <c r="D26" s="1"/>
      <c r="E26" s="1"/>
      <c r="F26" s="1"/>
      <c r="J26" s="5" t="s">
        <v>889</v>
      </c>
      <c r="K26" s="112">
        <v>400</v>
      </c>
      <c r="L26" s="127">
        <f>K26/L25-K26</f>
        <v>400</v>
      </c>
      <c r="M26" s="127">
        <f>SUM(K26:L26)</f>
        <v>800</v>
      </c>
      <c r="AG26">
        <v>495.8986175115208</v>
      </c>
    </row>
    <row r="27" spans="1:41" ht="15.75" customHeight="1">
      <c r="A27" s="1" t="s">
        <v>1013</v>
      </c>
      <c r="D27" s="1"/>
      <c r="E27" s="1"/>
      <c r="F27" s="1"/>
      <c r="K27" s="1" t="s">
        <v>99</v>
      </c>
      <c r="L27" s="126">
        <v>0.5</v>
      </c>
      <c r="V27" s="1"/>
      <c r="W27" s="1"/>
      <c r="X27" s="1"/>
      <c r="Y27" s="124"/>
      <c r="AG27">
        <v>482.12471131639722</v>
      </c>
    </row>
    <row r="28" spans="1:41" ht="15.75" customHeight="1">
      <c r="A28" s="1" t="s">
        <v>1014</v>
      </c>
      <c r="D28" s="1"/>
      <c r="E28" s="1"/>
      <c r="F28" s="1"/>
      <c r="J28" s="128" t="s">
        <v>963</v>
      </c>
      <c r="K28" s="1">
        <v>300</v>
      </c>
      <c r="L28" s="127">
        <f>K28/L27-K28</f>
        <v>300</v>
      </c>
      <c r="M28" s="127">
        <f>SUM(K28:L28)</f>
        <v>600</v>
      </c>
      <c r="Y28" s="124"/>
      <c r="AG28">
        <v>0</v>
      </c>
    </row>
    <row r="29" spans="1:41" ht="15.75" customHeight="1">
      <c r="A29" s="1" t="s">
        <v>1015</v>
      </c>
      <c r="D29" s="1"/>
      <c r="E29" s="1"/>
      <c r="F29" s="1"/>
      <c r="K29" s="1" t="s">
        <v>101</v>
      </c>
      <c r="L29" s="1">
        <v>0.5</v>
      </c>
      <c r="V29" s="1"/>
      <c r="W29" s="1"/>
      <c r="X29" s="1"/>
      <c r="AG29">
        <v>942.68221574344022</v>
      </c>
    </row>
    <row r="30" spans="1:41" ht="15.75" customHeight="1">
      <c r="A30" s="1" t="s">
        <v>1016</v>
      </c>
      <c r="D30" s="1"/>
      <c r="E30" s="1"/>
      <c r="F30" s="1"/>
      <c r="J30" s="5" t="s">
        <v>964</v>
      </c>
      <c r="K30" s="1">
        <v>350</v>
      </c>
      <c r="L30" s="126">
        <f>K30/L29-K30</f>
        <v>350</v>
      </c>
      <c r="M30" s="127">
        <f>K30+L30</f>
        <v>700</v>
      </c>
      <c r="V30" s="1"/>
      <c r="W30" s="1"/>
      <c r="X30" s="1"/>
      <c r="AG30">
        <v>333.0612244897959</v>
      </c>
    </row>
    <row r="31" spans="1:41" ht="15.75" customHeight="1">
      <c r="A31" s="1"/>
      <c r="D31" s="1"/>
      <c r="E31" s="1"/>
      <c r="F31" s="1"/>
      <c r="K31" s="1"/>
      <c r="L31" s="1"/>
      <c r="V31" s="1"/>
      <c r="W31" s="1"/>
      <c r="X31" s="1"/>
      <c r="AG31">
        <v>637.95698924731175</v>
      </c>
    </row>
    <row r="32" spans="1:41" ht="15.75" customHeight="1">
      <c r="A32" s="1" t="s">
        <v>1017</v>
      </c>
      <c r="D32" s="1"/>
      <c r="E32" s="1"/>
      <c r="F32" s="1"/>
      <c r="J32" s="110"/>
      <c r="K32" s="1"/>
      <c r="L32" s="126"/>
      <c r="M32" s="127"/>
      <c r="V32" s="1"/>
      <c r="W32" s="1"/>
      <c r="X32" s="1"/>
      <c r="AG32">
        <v>737.80979827089334</v>
      </c>
    </row>
    <row r="33" spans="1:33" ht="15.75" customHeight="1">
      <c r="A33" s="1" t="s">
        <v>1018</v>
      </c>
      <c r="D33" s="1"/>
      <c r="E33" s="1"/>
      <c r="F33" s="1"/>
      <c r="V33" s="1"/>
      <c r="W33" s="1"/>
      <c r="X33" s="1"/>
      <c r="AG33">
        <v>741.73184357541902</v>
      </c>
    </row>
    <row r="34" spans="1:33" ht="15.75" customHeight="1">
      <c r="A34" s="1" t="s">
        <v>1019</v>
      </c>
      <c r="D34" s="1"/>
      <c r="E34" s="1"/>
      <c r="F34" s="1"/>
      <c r="V34" s="1"/>
      <c r="W34" s="1"/>
      <c r="X34" s="1"/>
    </row>
    <row r="35" spans="1:33" ht="15.75" customHeight="1">
      <c r="A35" s="1" t="s">
        <v>1020</v>
      </c>
      <c r="D35" s="1"/>
      <c r="E35" s="1"/>
      <c r="F35" s="1"/>
      <c r="V35" s="1"/>
      <c r="W35" s="1"/>
      <c r="X35" s="1"/>
    </row>
    <row r="36" spans="1:33" ht="15.75" customHeight="1">
      <c r="A36" s="1" t="s">
        <v>1021</v>
      </c>
      <c r="D36" s="1"/>
      <c r="E36" s="1"/>
      <c r="F36" s="1"/>
      <c r="V36" s="1"/>
      <c r="W36" s="1"/>
      <c r="X36" s="1"/>
    </row>
    <row r="37" spans="1:33" ht="15.75" customHeight="1">
      <c r="A37" s="1" t="s">
        <v>1022</v>
      </c>
      <c r="D37" s="1"/>
      <c r="E37" s="1"/>
      <c r="F37" s="1"/>
      <c r="V37" s="1"/>
      <c r="W37" s="1"/>
      <c r="X37" s="1"/>
    </row>
    <row r="38" spans="1:33" ht="15.75" customHeight="1">
      <c r="A38" s="1" t="s">
        <v>982</v>
      </c>
      <c r="D38" s="1"/>
      <c r="E38" s="1"/>
      <c r="F38" s="1"/>
      <c r="V38" s="1"/>
      <c r="W38" s="1"/>
      <c r="X38" s="1"/>
    </row>
    <row r="39" spans="1:33" ht="12.75">
      <c r="A39" s="1" t="s">
        <v>1023</v>
      </c>
      <c r="V39" s="1"/>
      <c r="W39" s="1"/>
      <c r="X39" s="1"/>
    </row>
    <row r="40" spans="1:33" ht="12.75">
      <c r="A40" s="1" t="s">
        <v>1024</v>
      </c>
      <c r="V40" s="1"/>
      <c r="W40" s="1"/>
      <c r="X40" s="1"/>
    </row>
    <row r="41" spans="1:33" ht="12.75">
      <c r="A41" s="1" t="s">
        <v>1025</v>
      </c>
      <c r="B41" s="1">
        <v>6.07</v>
      </c>
    </row>
    <row r="42" spans="1:33" ht="12.75">
      <c r="A42" s="1" t="s">
        <v>1026</v>
      </c>
      <c r="B42" s="1">
        <v>5.98</v>
      </c>
    </row>
    <row r="43" spans="1:33" ht="12.75">
      <c r="A43" s="1" t="s">
        <v>1027</v>
      </c>
      <c r="B43" s="1">
        <v>6.2</v>
      </c>
    </row>
    <row r="45" spans="1:33" ht="12.75">
      <c r="A45" s="1" t="s">
        <v>1028</v>
      </c>
    </row>
    <row r="46" spans="1:33" ht="12.75">
      <c r="A46" s="1" t="s">
        <v>1029</v>
      </c>
    </row>
    <row r="47" spans="1:33" ht="12.75">
      <c r="A47" s="1" t="s">
        <v>1030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9"/>
  <sheetViews>
    <sheetView workbookViewId="0"/>
  </sheetViews>
  <sheetFormatPr defaultColWidth="14.42578125" defaultRowHeight="15.75" customHeight="1"/>
  <cols>
    <col min="3" max="3" width="18.140625" customWidth="1"/>
    <col min="4" max="4" width="16" customWidth="1"/>
    <col min="8" max="8" width="18.85546875" customWidth="1"/>
    <col min="9" max="9" width="17.28515625" customWidth="1"/>
    <col min="10" max="10" width="24.140625" customWidth="1"/>
    <col min="12" max="12" width="17.140625" customWidth="1"/>
  </cols>
  <sheetData>
    <row r="1" spans="1:24" ht="15.75" customHeight="1">
      <c r="A1" s="110" t="s">
        <v>1031</v>
      </c>
      <c r="B1" s="114"/>
      <c r="C1" s="114"/>
      <c r="D1" s="114"/>
      <c r="E1" s="114"/>
      <c r="F1" s="110"/>
      <c r="G1" s="114"/>
      <c r="H1" s="114"/>
      <c r="I1" s="114"/>
      <c r="J1" s="114"/>
      <c r="K1" s="114"/>
      <c r="L1" s="1"/>
      <c r="O1" s="1"/>
      <c r="P1" s="1"/>
      <c r="Q1" s="1"/>
      <c r="R1" s="1"/>
      <c r="S1" s="1"/>
      <c r="U1" s="103" t="s">
        <v>8</v>
      </c>
      <c r="V1" s="103">
        <v>340</v>
      </c>
      <c r="W1" s="166"/>
    </row>
    <row r="2" spans="1:24" ht="15.75" customHeight="1">
      <c r="A2" s="114" t="s">
        <v>1</v>
      </c>
      <c r="B2" s="114" t="s">
        <v>659</v>
      </c>
      <c r="C2" s="114" t="s">
        <v>660</v>
      </c>
      <c r="D2" s="114" t="s">
        <v>661</v>
      </c>
      <c r="E2" s="114" t="s">
        <v>1032</v>
      </c>
      <c r="F2" s="110" t="s">
        <v>1033</v>
      </c>
      <c r="G2" s="114" t="s">
        <v>97</v>
      </c>
      <c r="H2" s="114" t="s">
        <v>664</v>
      </c>
      <c r="I2" s="114" t="s">
        <v>665</v>
      </c>
      <c r="J2" s="114" t="s">
        <v>666</v>
      </c>
      <c r="K2" s="114" t="s">
        <v>667</v>
      </c>
      <c r="L2" s="1" t="s">
        <v>1034</v>
      </c>
      <c r="O2" s="1" t="s">
        <v>6</v>
      </c>
      <c r="P2" s="1" t="s">
        <v>7</v>
      </c>
      <c r="Q2" s="1" t="s">
        <v>8</v>
      </c>
      <c r="R2" s="1" t="s">
        <v>9</v>
      </c>
      <c r="S2" s="1" t="s">
        <v>10</v>
      </c>
      <c r="U2" s="103" t="s">
        <v>11</v>
      </c>
      <c r="V2" s="103" t="s">
        <v>216</v>
      </c>
      <c r="W2" s="166"/>
    </row>
    <row r="3" spans="1:24" ht="15.75" customHeight="1">
      <c r="A3" s="114" t="s">
        <v>17</v>
      </c>
      <c r="B3" s="167" t="s">
        <v>1035</v>
      </c>
      <c r="C3" s="111">
        <v>4</v>
      </c>
      <c r="D3" s="127">
        <f t="shared" ref="D3:D14" si="0">C3+I3/1000</f>
        <v>4.2</v>
      </c>
      <c r="E3" s="114" t="s">
        <v>692</v>
      </c>
      <c r="F3" s="112" t="s">
        <v>1036</v>
      </c>
      <c r="G3" s="111">
        <v>1</v>
      </c>
      <c r="H3" s="112">
        <v>20</v>
      </c>
      <c r="I3" s="112">
        <v>200</v>
      </c>
      <c r="J3" s="112">
        <v>10</v>
      </c>
      <c r="K3" s="112">
        <v>50</v>
      </c>
      <c r="L3" s="110" t="s">
        <v>1035</v>
      </c>
      <c r="M3" s="114"/>
      <c r="N3" s="114" t="s">
        <v>17</v>
      </c>
      <c r="O3" s="1">
        <v>12266</v>
      </c>
      <c r="P3" s="1"/>
      <c r="Q3" s="1">
        <v>401</v>
      </c>
      <c r="R3" s="1">
        <v>1159</v>
      </c>
      <c r="S3" s="1">
        <v>76</v>
      </c>
      <c r="U3">
        <f t="shared" ref="U3:U17" si="1">$V$1/Q3*R3</f>
        <v>982.69326683291774</v>
      </c>
      <c r="X3" s="1"/>
    </row>
    <row r="4" spans="1:24" ht="15.75" customHeight="1">
      <c r="A4" s="114" t="s">
        <v>18</v>
      </c>
      <c r="B4" s="167" t="s">
        <v>1035</v>
      </c>
      <c r="C4" s="111">
        <v>4</v>
      </c>
      <c r="D4" s="127">
        <f t="shared" si="0"/>
        <v>4.2</v>
      </c>
      <c r="E4" s="114" t="s">
        <v>692</v>
      </c>
      <c r="F4" s="112" t="s">
        <v>1036</v>
      </c>
      <c r="G4" s="111">
        <v>1</v>
      </c>
      <c r="H4" s="112">
        <v>20</v>
      </c>
      <c r="I4" s="112">
        <v>200</v>
      </c>
      <c r="J4" s="112">
        <v>10</v>
      </c>
      <c r="K4" s="112">
        <v>50</v>
      </c>
      <c r="L4" s="110" t="s">
        <v>1035</v>
      </c>
      <c r="M4" s="114"/>
      <c r="N4" s="114" t="s">
        <v>18</v>
      </c>
      <c r="O4" s="1">
        <v>12376</v>
      </c>
      <c r="P4" s="1"/>
      <c r="Q4" s="1">
        <v>401</v>
      </c>
      <c r="R4" s="1">
        <v>1173</v>
      </c>
      <c r="S4" s="1">
        <v>65</v>
      </c>
      <c r="U4">
        <f t="shared" si="1"/>
        <v>994.56359102244392</v>
      </c>
      <c r="X4" s="1"/>
    </row>
    <row r="5" spans="1:24" ht="15.75" customHeight="1">
      <c r="A5" s="114" t="s">
        <v>19</v>
      </c>
      <c r="B5" s="167" t="s">
        <v>1035</v>
      </c>
      <c r="C5" s="111">
        <v>4</v>
      </c>
      <c r="D5" s="127">
        <f t="shared" si="0"/>
        <v>4.2</v>
      </c>
      <c r="E5" s="114" t="s">
        <v>692</v>
      </c>
      <c r="F5" s="112" t="s">
        <v>1036</v>
      </c>
      <c r="G5" s="111">
        <v>1</v>
      </c>
      <c r="H5" s="112">
        <v>20</v>
      </c>
      <c r="I5" s="112">
        <v>200</v>
      </c>
      <c r="J5" s="112">
        <v>10</v>
      </c>
      <c r="K5" s="112">
        <v>50</v>
      </c>
      <c r="L5" s="110" t="s">
        <v>1035</v>
      </c>
      <c r="M5" s="114"/>
      <c r="N5" s="114" t="s">
        <v>19</v>
      </c>
      <c r="O5" s="1">
        <v>11817</v>
      </c>
      <c r="Q5" s="1">
        <v>396</v>
      </c>
      <c r="R5" s="1">
        <v>1127</v>
      </c>
      <c r="S5" s="1">
        <v>77</v>
      </c>
      <c r="U5">
        <f t="shared" si="1"/>
        <v>967.62626262626259</v>
      </c>
      <c r="X5" s="1"/>
    </row>
    <row r="6" spans="1:24" ht="15.75" customHeight="1">
      <c r="A6" s="114" t="s">
        <v>20</v>
      </c>
      <c r="B6" s="167" t="s">
        <v>591</v>
      </c>
      <c r="C6" s="112">
        <v>4</v>
      </c>
      <c r="D6" s="127">
        <f t="shared" si="0"/>
        <v>4.2</v>
      </c>
      <c r="E6" s="114" t="s">
        <v>692</v>
      </c>
      <c r="F6" s="112" t="s">
        <v>1036</v>
      </c>
      <c r="G6" s="112">
        <v>1</v>
      </c>
      <c r="H6" s="112">
        <v>20</v>
      </c>
      <c r="I6" s="112">
        <v>200</v>
      </c>
      <c r="J6" s="112">
        <v>10</v>
      </c>
      <c r="K6" s="112">
        <v>50</v>
      </c>
      <c r="L6" s="110" t="s">
        <v>1035</v>
      </c>
      <c r="M6" s="114"/>
      <c r="N6" s="114" t="s">
        <v>20</v>
      </c>
      <c r="O6" s="1">
        <v>13506</v>
      </c>
      <c r="Q6" s="1">
        <v>446</v>
      </c>
      <c r="R6" s="1">
        <v>685</v>
      </c>
      <c r="S6" s="1">
        <v>225</v>
      </c>
      <c r="U6">
        <f t="shared" si="1"/>
        <v>522.1973094170404</v>
      </c>
      <c r="X6" s="1"/>
    </row>
    <row r="7" spans="1:24" ht="15.75" customHeight="1">
      <c r="A7" s="114" t="s">
        <v>21</v>
      </c>
      <c r="B7" s="167" t="s">
        <v>591</v>
      </c>
      <c r="C7" s="112">
        <v>4</v>
      </c>
      <c r="D7" s="127">
        <f t="shared" si="0"/>
        <v>4.2</v>
      </c>
      <c r="E7" s="114" t="s">
        <v>692</v>
      </c>
      <c r="F7" s="112" t="s">
        <v>1036</v>
      </c>
      <c r="G7" s="112">
        <v>1</v>
      </c>
      <c r="H7" s="112">
        <v>20</v>
      </c>
      <c r="I7" s="112">
        <v>200</v>
      </c>
      <c r="J7" s="112">
        <v>10</v>
      </c>
      <c r="K7" s="112">
        <v>50</v>
      </c>
      <c r="L7" s="110" t="s">
        <v>1035</v>
      </c>
      <c r="M7" s="114"/>
      <c r="N7" s="114" t="s">
        <v>21</v>
      </c>
      <c r="O7" s="1">
        <v>13550</v>
      </c>
      <c r="P7" s="1"/>
      <c r="Q7" s="1">
        <v>452</v>
      </c>
      <c r="R7" s="1">
        <v>650</v>
      </c>
      <c r="S7" s="1">
        <v>208</v>
      </c>
      <c r="U7">
        <f t="shared" si="1"/>
        <v>488.93805309734512</v>
      </c>
    </row>
    <row r="8" spans="1:24" ht="15.75" customHeight="1">
      <c r="A8" s="114" t="s">
        <v>22</v>
      </c>
      <c r="B8" s="167" t="s">
        <v>591</v>
      </c>
      <c r="C8" s="112">
        <v>4</v>
      </c>
      <c r="D8" s="127">
        <f t="shared" si="0"/>
        <v>4.2</v>
      </c>
      <c r="E8" s="114" t="s">
        <v>692</v>
      </c>
      <c r="F8" s="112" t="s">
        <v>1036</v>
      </c>
      <c r="G8" s="112">
        <v>1</v>
      </c>
      <c r="H8" s="112">
        <v>20</v>
      </c>
      <c r="I8" s="112">
        <v>200</v>
      </c>
      <c r="J8" s="112">
        <v>10</v>
      </c>
      <c r="K8" s="112">
        <v>50</v>
      </c>
      <c r="L8" s="110" t="s">
        <v>1035</v>
      </c>
      <c r="M8" s="114"/>
      <c r="N8" s="114" t="s">
        <v>22</v>
      </c>
      <c r="O8" s="1">
        <v>13397</v>
      </c>
      <c r="P8" s="1"/>
      <c r="Q8" s="1">
        <v>444</v>
      </c>
      <c r="R8" s="1">
        <v>669</v>
      </c>
      <c r="S8" s="1">
        <v>201</v>
      </c>
      <c r="U8">
        <f t="shared" si="1"/>
        <v>512.29729729729729</v>
      </c>
    </row>
    <row r="9" spans="1:24" ht="15.75" customHeight="1">
      <c r="A9" s="110" t="s">
        <v>23</v>
      </c>
      <c r="B9" s="167" t="s">
        <v>591</v>
      </c>
      <c r="C9" s="112">
        <v>4</v>
      </c>
      <c r="D9" s="127">
        <f t="shared" si="0"/>
        <v>4.2</v>
      </c>
      <c r="E9" s="114" t="s">
        <v>692</v>
      </c>
      <c r="F9" s="112" t="s">
        <v>1036</v>
      </c>
      <c r="G9" s="112">
        <v>1</v>
      </c>
      <c r="H9" s="112">
        <v>20</v>
      </c>
      <c r="I9" s="112">
        <v>200</v>
      </c>
      <c r="J9" s="112">
        <v>10</v>
      </c>
      <c r="K9" s="112">
        <v>50</v>
      </c>
      <c r="L9" s="110" t="s">
        <v>1037</v>
      </c>
      <c r="M9" s="110"/>
      <c r="N9" s="110" t="s">
        <v>23</v>
      </c>
      <c r="O9" s="1">
        <v>13273</v>
      </c>
      <c r="Q9" s="1">
        <v>457</v>
      </c>
      <c r="R9" s="1">
        <v>615</v>
      </c>
      <c r="S9" s="1">
        <v>238</v>
      </c>
      <c r="U9">
        <f t="shared" si="1"/>
        <v>457.5492341356674</v>
      </c>
    </row>
    <row r="10" spans="1:24" ht="15.75" customHeight="1">
      <c r="A10" s="110" t="s">
        <v>24</v>
      </c>
      <c r="B10" s="167" t="s">
        <v>591</v>
      </c>
      <c r="C10" s="112">
        <v>4</v>
      </c>
      <c r="D10" s="127">
        <f t="shared" si="0"/>
        <v>4.2</v>
      </c>
      <c r="E10" s="114" t="s">
        <v>692</v>
      </c>
      <c r="F10" s="112" t="s">
        <v>1036</v>
      </c>
      <c r="G10" s="112">
        <v>1</v>
      </c>
      <c r="H10" s="112">
        <v>20</v>
      </c>
      <c r="I10" s="112">
        <v>200</v>
      </c>
      <c r="J10" s="112">
        <v>10</v>
      </c>
      <c r="K10" s="112">
        <v>50</v>
      </c>
      <c r="L10" s="110" t="s">
        <v>1037</v>
      </c>
      <c r="M10" s="110"/>
      <c r="N10" s="110" t="s">
        <v>24</v>
      </c>
      <c r="O10" s="1">
        <v>12911</v>
      </c>
      <c r="Q10" s="1">
        <v>501</v>
      </c>
      <c r="R10" s="1">
        <v>605</v>
      </c>
      <c r="S10" s="1">
        <v>204</v>
      </c>
      <c r="U10">
        <f t="shared" si="1"/>
        <v>410.57884231536923</v>
      </c>
    </row>
    <row r="11" spans="1:24" ht="15.75" customHeight="1">
      <c r="A11" s="110" t="s">
        <v>25</v>
      </c>
      <c r="B11" s="167" t="s">
        <v>591</v>
      </c>
      <c r="C11" s="112">
        <v>4</v>
      </c>
      <c r="D11" s="127">
        <f t="shared" si="0"/>
        <v>4.2</v>
      </c>
      <c r="E11" s="114" t="s">
        <v>692</v>
      </c>
      <c r="F11" s="112" t="s">
        <v>1036</v>
      </c>
      <c r="G11" s="112">
        <v>1</v>
      </c>
      <c r="H11" s="112">
        <v>20</v>
      </c>
      <c r="I11" s="112">
        <v>200</v>
      </c>
      <c r="J11" s="112">
        <v>10</v>
      </c>
      <c r="K11" s="112">
        <v>50</v>
      </c>
      <c r="L11" s="110" t="s">
        <v>1037</v>
      </c>
      <c r="M11" s="110"/>
      <c r="N11" s="110" t="s">
        <v>25</v>
      </c>
      <c r="O11" s="1">
        <v>13080</v>
      </c>
      <c r="Q11" s="1">
        <v>420</v>
      </c>
      <c r="R11" s="1">
        <v>687</v>
      </c>
      <c r="S11" s="1">
        <v>208</v>
      </c>
      <c r="U11">
        <f t="shared" si="1"/>
        <v>556.14285714285711</v>
      </c>
    </row>
    <row r="12" spans="1:24" ht="15.75" customHeight="1">
      <c r="A12" s="110" t="s">
        <v>26</v>
      </c>
      <c r="B12" s="167" t="s">
        <v>591</v>
      </c>
      <c r="C12" s="112">
        <v>4</v>
      </c>
      <c r="D12" s="127">
        <f t="shared" si="0"/>
        <v>4.4000000000000004</v>
      </c>
      <c r="E12" s="114" t="s">
        <v>692</v>
      </c>
      <c r="F12" s="112" t="s">
        <v>1038</v>
      </c>
      <c r="G12" s="112">
        <v>1</v>
      </c>
      <c r="H12" s="112">
        <v>40</v>
      </c>
      <c r="I12" s="112">
        <v>400</v>
      </c>
      <c r="J12" s="112">
        <v>20</v>
      </c>
      <c r="K12" s="112">
        <v>50</v>
      </c>
      <c r="L12" s="110" t="s">
        <v>1037</v>
      </c>
      <c r="M12" s="110"/>
      <c r="N12" s="110" t="s">
        <v>26</v>
      </c>
      <c r="O12" s="1">
        <v>14159</v>
      </c>
      <c r="P12" s="1"/>
      <c r="Q12" s="1">
        <v>480</v>
      </c>
      <c r="R12" s="1">
        <v>619</v>
      </c>
      <c r="S12" s="1">
        <v>264</v>
      </c>
      <c r="U12">
        <f t="shared" si="1"/>
        <v>438.45833333333337</v>
      </c>
    </row>
    <row r="13" spans="1:24" ht="15.75" customHeight="1">
      <c r="A13" s="110" t="s">
        <v>27</v>
      </c>
      <c r="B13" s="167" t="s">
        <v>591</v>
      </c>
      <c r="C13" s="112">
        <v>4</v>
      </c>
      <c r="D13" s="127">
        <f t="shared" si="0"/>
        <v>4.4000000000000004</v>
      </c>
      <c r="E13" s="114" t="s">
        <v>692</v>
      </c>
      <c r="F13" s="112" t="s">
        <v>1038</v>
      </c>
      <c r="G13" s="112">
        <v>1</v>
      </c>
      <c r="H13" s="112">
        <v>40</v>
      </c>
      <c r="I13" s="112">
        <v>400</v>
      </c>
      <c r="J13" s="112">
        <v>20</v>
      </c>
      <c r="K13" s="112">
        <v>50</v>
      </c>
      <c r="L13" s="110" t="s">
        <v>1037</v>
      </c>
      <c r="M13" s="110"/>
      <c r="N13" s="110" t="s">
        <v>27</v>
      </c>
      <c r="O13" s="1">
        <v>13799</v>
      </c>
      <c r="P13" s="1"/>
      <c r="Q13" s="1">
        <v>472</v>
      </c>
      <c r="R13" s="1">
        <v>614</v>
      </c>
      <c r="S13" s="1">
        <v>254</v>
      </c>
      <c r="U13">
        <f t="shared" si="1"/>
        <v>442.28813559322032</v>
      </c>
    </row>
    <row r="14" spans="1:24" ht="15.75" customHeight="1">
      <c r="A14" s="110" t="s">
        <v>28</v>
      </c>
      <c r="B14" s="167" t="s">
        <v>591</v>
      </c>
      <c r="C14" s="112">
        <v>4</v>
      </c>
      <c r="D14" s="127">
        <f t="shared" si="0"/>
        <v>4.4000000000000004</v>
      </c>
      <c r="E14" s="114" t="s">
        <v>692</v>
      </c>
      <c r="F14" s="112" t="s">
        <v>1038</v>
      </c>
      <c r="G14" s="112">
        <v>1</v>
      </c>
      <c r="H14" s="112">
        <v>40</v>
      </c>
      <c r="I14" s="112">
        <v>400</v>
      </c>
      <c r="J14" s="112">
        <v>20</v>
      </c>
      <c r="K14" s="112">
        <v>50</v>
      </c>
      <c r="L14" s="110" t="s">
        <v>1037</v>
      </c>
      <c r="M14" s="110"/>
      <c r="N14" s="110" t="s">
        <v>28</v>
      </c>
      <c r="O14" s="1">
        <v>13633</v>
      </c>
      <c r="P14" s="1"/>
      <c r="Q14" s="1">
        <v>495</v>
      </c>
      <c r="R14" s="1">
        <v>532</v>
      </c>
      <c r="S14" s="1">
        <v>272</v>
      </c>
      <c r="U14">
        <f t="shared" si="1"/>
        <v>365.4141414141414</v>
      </c>
    </row>
    <row r="15" spans="1:24" ht="15.75" customHeight="1">
      <c r="A15" s="1" t="s">
        <v>29</v>
      </c>
      <c r="B15" s="167" t="s">
        <v>591</v>
      </c>
      <c r="C15" s="112">
        <v>4</v>
      </c>
      <c r="D15" s="127">
        <f t="shared" ref="D15:D17" si="2">C15+I12/1000</f>
        <v>4.4000000000000004</v>
      </c>
      <c r="E15" s="114" t="s">
        <v>692</v>
      </c>
      <c r="F15" s="112" t="s">
        <v>1036</v>
      </c>
      <c r="G15" s="112">
        <v>1</v>
      </c>
      <c r="H15" s="112">
        <v>10</v>
      </c>
      <c r="I15" s="112">
        <v>100</v>
      </c>
      <c r="J15" s="112">
        <v>5</v>
      </c>
      <c r="K15" s="112">
        <v>50</v>
      </c>
      <c r="L15" s="110" t="s">
        <v>1037</v>
      </c>
      <c r="N15" s="1" t="s">
        <v>29</v>
      </c>
      <c r="O15" s="1">
        <v>12393</v>
      </c>
      <c r="P15" s="1"/>
      <c r="Q15" s="1">
        <v>344</v>
      </c>
      <c r="R15" s="1">
        <v>1065</v>
      </c>
      <c r="S15" s="1">
        <v>71</v>
      </c>
      <c r="T15" s="1"/>
      <c r="U15">
        <f t="shared" si="1"/>
        <v>1052.6162790697674</v>
      </c>
    </row>
    <row r="16" spans="1:24" ht="15.75" customHeight="1">
      <c r="A16" s="1" t="s">
        <v>30</v>
      </c>
      <c r="B16" s="167" t="s">
        <v>591</v>
      </c>
      <c r="C16" s="112">
        <v>4</v>
      </c>
      <c r="D16" s="127">
        <f t="shared" si="2"/>
        <v>4.4000000000000004</v>
      </c>
      <c r="E16" s="114" t="s">
        <v>692</v>
      </c>
      <c r="F16" s="112" t="s">
        <v>1036</v>
      </c>
      <c r="G16" s="112">
        <v>1</v>
      </c>
      <c r="H16" s="112">
        <v>10</v>
      </c>
      <c r="I16" s="112">
        <v>100</v>
      </c>
      <c r="J16" s="112">
        <v>5</v>
      </c>
      <c r="K16" s="112">
        <v>50</v>
      </c>
      <c r="L16" s="110" t="s">
        <v>1037</v>
      </c>
      <c r="N16" s="1" t="s">
        <v>30</v>
      </c>
      <c r="O16" s="1">
        <v>12453</v>
      </c>
      <c r="P16" s="1"/>
      <c r="Q16" s="1">
        <v>372</v>
      </c>
      <c r="R16" s="1">
        <v>983</v>
      </c>
      <c r="S16" s="1">
        <v>114</v>
      </c>
      <c r="T16" s="1"/>
      <c r="U16">
        <f t="shared" si="1"/>
        <v>898.4408602150537</v>
      </c>
    </row>
    <row r="17" spans="1:21" ht="15.75" customHeight="1">
      <c r="A17" s="1" t="s">
        <v>31</v>
      </c>
      <c r="B17" s="167" t="s">
        <v>591</v>
      </c>
      <c r="C17" s="112">
        <v>4</v>
      </c>
      <c r="D17" s="127">
        <f t="shared" si="2"/>
        <v>4.4000000000000004</v>
      </c>
      <c r="E17" s="114" t="s">
        <v>692</v>
      </c>
      <c r="F17" s="112" t="s">
        <v>1036</v>
      </c>
      <c r="G17" s="112">
        <v>1</v>
      </c>
      <c r="H17" s="112">
        <v>10</v>
      </c>
      <c r="I17" s="112">
        <v>100</v>
      </c>
      <c r="J17" s="112">
        <v>5</v>
      </c>
      <c r="K17" s="112">
        <v>50</v>
      </c>
      <c r="L17" s="110" t="s">
        <v>1037</v>
      </c>
      <c r="N17" s="1" t="s">
        <v>31</v>
      </c>
      <c r="O17" s="1">
        <v>12457</v>
      </c>
      <c r="Q17" s="1">
        <v>384</v>
      </c>
      <c r="R17" s="1">
        <v>933</v>
      </c>
      <c r="S17" s="1">
        <v>128</v>
      </c>
      <c r="T17" s="1"/>
      <c r="U17">
        <f t="shared" si="1"/>
        <v>826.09375</v>
      </c>
    </row>
    <row r="18" spans="1:21" ht="15.75" customHeight="1">
      <c r="B18" s="114" t="s">
        <v>300</v>
      </c>
      <c r="C18" s="127">
        <f>SUM(C3:C14)</f>
        <v>48</v>
      </c>
      <c r="E18" s="1"/>
      <c r="F18" s="112"/>
      <c r="H18" s="1" t="s">
        <v>1039</v>
      </c>
      <c r="I18">
        <f>SUM(I3:I17)</f>
        <v>3300</v>
      </c>
      <c r="O18" s="1"/>
      <c r="P18" s="1"/>
      <c r="Q18" s="1"/>
      <c r="S18" s="1"/>
      <c r="T18" s="1"/>
    </row>
    <row r="19" spans="1:21" ht="15.75" customHeight="1">
      <c r="A19" s="125" t="s">
        <v>1040</v>
      </c>
      <c r="B19" s="1" t="s">
        <v>1041</v>
      </c>
      <c r="I19" s="125" t="s">
        <v>968</v>
      </c>
      <c r="J19" s="114"/>
      <c r="K19" s="114"/>
      <c r="P19" s="1"/>
      <c r="Q19" s="1"/>
      <c r="T19" s="1"/>
    </row>
    <row r="20" spans="1:21" ht="15.75" customHeight="1">
      <c r="A20" s="1" t="s">
        <v>1042</v>
      </c>
      <c r="I20" s="114" t="s">
        <v>970</v>
      </c>
      <c r="J20" s="114" t="s">
        <v>47</v>
      </c>
      <c r="K20" s="114" t="s">
        <v>300</v>
      </c>
      <c r="P20" s="1"/>
      <c r="Q20" s="1"/>
      <c r="T20" s="1"/>
    </row>
    <row r="21" spans="1:21" ht="15.75" customHeight="1">
      <c r="A21" s="1" t="s">
        <v>1043</v>
      </c>
      <c r="H21" s="1"/>
      <c r="I21" s="128" t="s">
        <v>1044</v>
      </c>
      <c r="J21" s="126">
        <v>0.3</v>
      </c>
      <c r="P21" s="1"/>
      <c r="Q21" s="1"/>
      <c r="T21" s="1"/>
    </row>
    <row r="22" spans="1:21" ht="15.75" customHeight="1">
      <c r="A22" s="1" t="s">
        <v>1045</v>
      </c>
      <c r="I22" s="112">
        <v>1300</v>
      </c>
      <c r="J22" s="127">
        <f>I22/J21-I22</f>
        <v>3033.3333333333339</v>
      </c>
      <c r="K22" s="127">
        <f>SUM(I22:J22)</f>
        <v>4333.3333333333339</v>
      </c>
      <c r="P22" s="1"/>
      <c r="Q22" s="1"/>
      <c r="S22" s="1"/>
      <c r="T22" s="1"/>
    </row>
    <row r="23" spans="1:21" ht="15.75" customHeight="1">
      <c r="A23" s="1" t="s">
        <v>1046</v>
      </c>
      <c r="I23" s="168"/>
      <c r="J23" s="112"/>
      <c r="K23" s="127"/>
      <c r="P23" s="1"/>
      <c r="Q23" s="1"/>
      <c r="S23" s="1"/>
      <c r="T23" s="1"/>
    </row>
    <row r="24" spans="1:21" ht="15.75" customHeight="1">
      <c r="A24" s="1" t="s">
        <v>1047</v>
      </c>
      <c r="I24" s="112"/>
      <c r="J24" s="127"/>
      <c r="K24" s="127"/>
      <c r="L24" s="1"/>
      <c r="M24" s="1"/>
      <c r="N24" s="1" t="s">
        <v>816</v>
      </c>
      <c r="O24" s="1" t="s">
        <v>817</v>
      </c>
      <c r="Q24" s="1" t="s">
        <v>818</v>
      </c>
      <c r="R24" s="1" t="s">
        <v>819</v>
      </c>
      <c r="S24" s="1"/>
      <c r="T24" s="1"/>
    </row>
    <row r="25" spans="1:21" ht="15.75" customHeight="1">
      <c r="A25" s="1"/>
      <c r="H25" s="1"/>
      <c r="I25" s="5"/>
      <c r="J25" s="1"/>
      <c r="L25" s="1"/>
      <c r="M25" s="1"/>
      <c r="N25" s="1">
        <v>1</v>
      </c>
      <c r="O25" s="1">
        <v>1</v>
      </c>
      <c r="P25" s="1" t="s">
        <v>820</v>
      </c>
      <c r="Q25" s="1">
        <v>20.7</v>
      </c>
      <c r="R25" s="1"/>
      <c r="S25" s="1"/>
      <c r="T25" s="1"/>
    </row>
    <row r="26" spans="1:21" ht="15.75" customHeight="1">
      <c r="A26" s="1"/>
      <c r="I26" s="112"/>
      <c r="J26" s="127"/>
      <c r="K26" s="127"/>
      <c r="N26">
        <f t="shared" ref="N26:N52" si="3">N25+1</f>
        <v>2</v>
      </c>
      <c r="O26" s="1">
        <v>2</v>
      </c>
      <c r="P26" s="1" t="s">
        <v>821</v>
      </c>
      <c r="Q26" s="1">
        <v>431.4</v>
      </c>
      <c r="R26" s="1">
        <v>12.6</v>
      </c>
      <c r="S26" s="1"/>
      <c r="T26" s="1"/>
    </row>
    <row r="27" spans="1:21" ht="15.75" customHeight="1">
      <c r="A27" s="1"/>
      <c r="H27" s="1"/>
      <c r="I27" s="5"/>
      <c r="J27" s="1"/>
      <c r="N27">
        <f t="shared" si="3"/>
        <v>3</v>
      </c>
      <c r="O27" s="1">
        <v>3</v>
      </c>
      <c r="P27" s="1" t="s">
        <v>822</v>
      </c>
      <c r="Q27" s="1">
        <v>129.9</v>
      </c>
      <c r="R27" s="1">
        <v>118.9</v>
      </c>
      <c r="S27" s="1"/>
      <c r="T27" s="1"/>
    </row>
    <row r="28" spans="1:21" ht="15.75" customHeight="1">
      <c r="I28" s="112"/>
      <c r="J28" s="127"/>
      <c r="K28" s="127"/>
      <c r="N28">
        <f t="shared" si="3"/>
        <v>4</v>
      </c>
      <c r="O28" s="1">
        <v>4</v>
      </c>
      <c r="P28" s="1" t="s">
        <v>823</v>
      </c>
      <c r="Q28" s="1">
        <v>37.799999999999997</v>
      </c>
      <c r="R28" s="1">
        <v>240.2</v>
      </c>
      <c r="S28" s="1"/>
      <c r="T28" s="1"/>
    </row>
    <row r="29" spans="1:21" ht="15.75" customHeight="1">
      <c r="N29">
        <f t="shared" si="3"/>
        <v>5</v>
      </c>
      <c r="O29" s="1">
        <v>5</v>
      </c>
      <c r="P29" s="1" t="s">
        <v>692</v>
      </c>
      <c r="Q29" s="1">
        <v>15.4</v>
      </c>
      <c r="S29" s="1"/>
      <c r="T29" s="1"/>
    </row>
    <row r="30" spans="1:21" ht="15.75" customHeight="1">
      <c r="N30">
        <f t="shared" si="3"/>
        <v>6</v>
      </c>
      <c r="O30" s="1">
        <v>1</v>
      </c>
      <c r="P30" s="1" t="s">
        <v>820</v>
      </c>
      <c r="Q30" s="1">
        <v>18.399999999999999</v>
      </c>
      <c r="S30" s="1"/>
      <c r="T30" s="1"/>
    </row>
    <row r="31" spans="1:21" ht="15.75" customHeight="1">
      <c r="N31">
        <f t="shared" si="3"/>
        <v>7</v>
      </c>
      <c r="O31" s="1">
        <v>6</v>
      </c>
      <c r="P31" s="125" t="s">
        <v>17</v>
      </c>
      <c r="Q31" s="1">
        <v>25.3</v>
      </c>
      <c r="R31" s="1">
        <v>113.4</v>
      </c>
      <c r="S31" s="1"/>
      <c r="T31" s="1"/>
    </row>
    <row r="32" spans="1:21" ht="15.75" customHeight="1">
      <c r="N32">
        <f t="shared" si="3"/>
        <v>8</v>
      </c>
      <c r="O32">
        <f t="shared" ref="O32:O45" si="4">O31+1</f>
        <v>7</v>
      </c>
      <c r="P32" s="125" t="s">
        <v>18</v>
      </c>
      <c r="Q32" s="1">
        <v>30.2</v>
      </c>
      <c r="R32" s="1">
        <v>113.3</v>
      </c>
      <c r="S32" s="1"/>
      <c r="T32" s="1"/>
    </row>
    <row r="33" spans="14:23" ht="15.75" customHeight="1">
      <c r="N33">
        <f t="shared" si="3"/>
        <v>9</v>
      </c>
      <c r="O33">
        <f t="shared" si="4"/>
        <v>8</v>
      </c>
      <c r="P33" s="125" t="s">
        <v>19</v>
      </c>
      <c r="Q33" s="1">
        <v>31.5</v>
      </c>
      <c r="R33" s="1">
        <v>115.1</v>
      </c>
      <c r="T33" s="1"/>
      <c r="W33" s="1"/>
    </row>
    <row r="34" spans="14:23" ht="15.75" customHeight="1">
      <c r="N34">
        <f t="shared" si="3"/>
        <v>10</v>
      </c>
      <c r="O34">
        <f t="shared" si="4"/>
        <v>9</v>
      </c>
      <c r="P34" s="114" t="s">
        <v>20</v>
      </c>
      <c r="Q34" s="1">
        <v>27.4</v>
      </c>
      <c r="R34" s="1">
        <v>115.9</v>
      </c>
      <c r="S34" s="1"/>
      <c r="T34" s="1"/>
    </row>
    <row r="35" spans="14:23" ht="15.75" customHeight="1">
      <c r="N35">
        <f t="shared" si="3"/>
        <v>11</v>
      </c>
      <c r="O35">
        <f t="shared" si="4"/>
        <v>10</v>
      </c>
      <c r="P35" s="114" t="s">
        <v>21</v>
      </c>
      <c r="Q35" s="1">
        <v>28.7</v>
      </c>
      <c r="R35" s="1">
        <v>97.8</v>
      </c>
      <c r="T35" s="1"/>
    </row>
    <row r="36" spans="14:23" ht="15.75" customHeight="1">
      <c r="N36">
        <f t="shared" si="3"/>
        <v>12</v>
      </c>
      <c r="O36">
        <f t="shared" si="4"/>
        <v>11</v>
      </c>
      <c r="P36" s="114" t="s">
        <v>22</v>
      </c>
      <c r="Q36" s="1">
        <v>30.5</v>
      </c>
      <c r="R36" s="1">
        <v>111.5</v>
      </c>
      <c r="S36" s="1"/>
      <c r="T36" s="1"/>
    </row>
    <row r="37" spans="14:23" ht="15.75" customHeight="1">
      <c r="N37">
        <f t="shared" si="3"/>
        <v>13</v>
      </c>
      <c r="O37">
        <f t="shared" si="4"/>
        <v>12</v>
      </c>
      <c r="P37" s="128" t="s">
        <v>23</v>
      </c>
      <c r="Q37" s="1">
        <v>31.9</v>
      </c>
      <c r="R37" s="1">
        <v>146.69999999999999</v>
      </c>
      <c r="T37" s="1"/>
    </row>
    <row r="38" spans="14:23" ht="15.75" customHeight="1">
      <c r="N38">
        <f t="shared" si="3"/>
        <v>14</v>
      </c>
      <c r="O38">
        <f t="shared" si="4"/>
        <v>13</v>
      </c>
      <c r="P38" s="128" t="s">
        <v>24</v>
      </c>
      <c r="Q38" s="1">
        <v>32.6</v>
      </c>
      <c r="R38" s="1">
        <v>144.4</v>
      </c>
      <c r="T38" s="1"/>
    </row>
    <row r="39" spans="14:23" ht="12.75">
      <c r="N39">
        <f t="shared" si="3"/>
        <v>15</v>
      </c>
      <c r="O39">
        <f t="shared" si="4"/>
        <v>14</v>
      </c>
      <c r="P39" s="128" t="s">
        <v>25</v>
      </c>
      <c r="Q39" s="1">
        <v>31.4</v>
      </c>
      <c r="R39" s="1">
        <v>123.2</v>
      </c>
      <c r="T39" s="1"/>
    </row>
    <row r="40" spans="14:23" ht="12.75">
      <c r="N40">
        <f t="shared" si="3"/>
        <v>16</v>
      </c>
      <c r="O40">
        <f t="shared" si="4"/>
        <v>15</v>
      </c>
      <c r="P40" s="110" t="s">
        <v>26</v>
      </c>
      <c r="Q40" s="1">
        <v>37</v>
      </c>
      <c r="R40" s="1">
        <v>150.9</v>
      </c>
    </row>
    <row r="41" spans="14:23" ht="12.75">
      <c r="N41">
        <f t="shared" si="3"/>
        <v>17</v>
      </c>
      <c r="O41">
        <f t="shared" si="4"/>
        <v>16</v>
      </c>
      <c r="P41" s="110" t="s">
        <v>27</v>
      </c>
      <c r="Q41" s="1">
        <v>37.6</v>
      </c>
      <c r="R41" s="1">
        <v>157</v>
      </c>
    </row>
    <row r="42" spans="14:23" ht="12.75">
      <c r="N42">
        <f t="shared" si="3"/>
        <v>18</v>
      </c>
      <c r="O42">
        <f t="shared" si="4"/>
        <v>17</v>
      </c>
      <c r="P42" s="110" t="s">
        <v>28</v>
      </c>
      <c r="Q42" s="1">
        <v>38.799999999999997</v>
      </c>
      <c r="R42" s="1">
        <v>165.9</v>
      </c>
      <c r="T42" s="1"/>
    </row>
    <row r="43" spans="14:23" ht="12.75">
      <c r="N43">
        <f t="shared" si="3"/>
        <v>19</v>
      </c>
      <c r="O43">
        <f t="shared" si="4"/>
        <v>18</v>
      </c>
      <c r="P43" s="128" t="s">
        <v>29</v>
      </c>
      <c r="Q43" s="1">
        <v>33.5</v>
      </c>
      <c r="R43" s="1">
        <v>48.2</v>
      </c>
      <c r="T43" s="1"/>
    </row>
    <row r="44" spans="14:23" ht="12.75">
      <c r="N44">
        <f t="shared" si="3"/>
        <v>20</v>
      </c>
      <c r="O44">
        <f t="shared" si="4"/>
        <v>19</v>
      </c>
      <c r="P44" s="128" t="s">
        <v>30</v>
      </c>
      <c r="Q44" s="1">
        <v>34.6</v>
      </c>
      <c r="R44" s="1">
        <v>83.6</v>
      </c>
      <c r="S44" s="1"/>
    </row>
    <row r="45" spans="14:23" ht="12.75">
      <c r="N45">
        <f t="shared" si="3"/>
        <v>21</v>
      </c>
      <c r="O45">
        <f t="shared" si="4"/>
        <v>20</v>
      </c>
      <c r="P45" s="128" t="s">
        <v>31</v>
      </c>
      <c r="Q45" s="1">
        <v>36.299999999999997</v>
      </c>
      <c r="R45" s="1">
        <v>92.4</v>
      </c>
      <c r="T45" s="1"/>
    </row>
    <row r="46" spans="14:23" ht="12.75">
      <c r="N46">
        <f t="shared" si="3"/>
        <v>22</v>
      </c>
      <c r="O46" s="1">
        <v>21</v>
      </c>
      <c r="P46" s="110" t="s">
        <v>1048</v>
      </c>
      <c r="Q46" s="1">
        <v>34.4</v>
      </c>
      <c r="R46" s="1">
        <v>13.6</v>
      </c>
    </row>
    <row r="47" spans="14:23" ht="12.75">
      <c r="N47">
        <f t="shared" si="3"/>
        <v>23</v>
      </c>
      <c r="O47" s="1">
        <v>1</v>
      </c>
      <c r="P47" s="1" t="s">
        <v>820</v>
      </c>
      <c r="Q47" s="1">
        <v>32.4</v>
      </c>
      <c r="R47" s="1"/>
    </row>
    <row r="48" spans="14:23" ht="12.75">
      <c r="N48">
        <f t="shared" si="3"/>
        <v>24</v>
      </c>
      <c r="O48" s="1">
        <v>2</v>
      </c>
      <c r="P48" s="1" t="s">
        <v>821</v>
      </c>
      <c r="Q48" s="1">
        <v>446.1</v>
      </c>
      <c r="R48" s="1">
        <v>12.7</v>
      </c>
      <c r="T48" s="1"/>
    </row>
    <row r="49" spans="14:20" ht="12.75">
      <c r="N49">
        <f t="shared" si="3"/>
        <v>25</v>
      </c>
      <c r="O49" s="1">
        <v>3</v>
      </c>
      <c r="P49" s="1" t="s">
        <v>822</v>
      </c>
      <c r="Q49" s="1">
        <v>137.19999999999999</v>
      </c>
      <c r="R49" s="1">
        <v>114.5</v>
      </c>
    </row>
    <row r="50" spans="14:20" ht="12.75">
      <c r="N50">
        <f t="shared" si="3"/>
        <v>26</v>
      </c>
      <c r="O50" s="1">
        <v>4</v>
      </c>
      <c r="P50" s="1" t="s">
        <v>823</v>
      </c>
      <c r="Q50" s="1">
        <v>51.1</v>
      </c>
      <c r="R50" s="1">
        <v>230</v>
      </c>
      <c r="T50" s="1"/>
    </row>
    <row r="51" spans="14:20" ht="12.75">
      <c r="N51">
        <f t="shared" si="3"/>
        <v>27</v>
      </c>
      <c r="O51" s="1">
        <v>5</v>
      </c>
      <c r="P51" s="1" t="s">
        <v>692</v>
      </c>
      <c r="Q51" s="1">
        <v>28.3</v>
      </c>
      <c r="R51" s="1"/>
      <c r="T51" s="1"/>
    </row>
    <row r="52" spans="14:20" ht="12.75">
      <c r="N52">
        <f t="shared" si="3"/>
        <v>28</v>
      </c>
      <c r="O52" s="1">
        <v>1</v>
      </c>
      <c r="P52" s="1" t="s">
        <v>820</v>
      </c>
      <c r="Q52" s="1">
        <v>29.1</v>
      </c>
      <c r="R52" s="1"/>
    </row>
    <row r="53" spans="14:20" ht="12.75">
      <c r="O53" s="1"/>
      <c r="P53" s="1"/>
      <c r="Q53" s="1"/>
    </row>
    <row r="54" spans="14:20" ht="12.75">
      <c r="O54" s="1"/>
      <c r="P54" s="1"/>
      <c r="Q54" s="1"/>
      <c r="R54" s="1"/>
      <c r="T54" s="1"/>
    </row>
    <row r="55" spans="14:20" ht="12.75">
      <c r="O55" s="1"/>
      <c r="P55" s="1"/>
      <c r="Q55" s="1"/>
      <c r="R55" s="1"/>
      <c r="T55" s="1"/>
    </row>
    <row r="56" spans="14:20" ht="12.75">
      <c r="O56" s="1"/>
      <c r="P56" s="1"/>
      <c r="Q56" s="1"/>
      <c r="R56" s="1"/>
      <c r="T56" s="1"/>
    </row>
    <row r="57" spans="14:20" ht="12.75">
      <c r="O57" s="1"/>
      <c r="P57" s="1"/>
      <c r="Q57" s="1"/>
      <c r="T57" s="1"/>
    </row>
    <row r="58" spans="14:20" ht="12.75">
      <c r="Q58" s="1"/>
      <c r="S58" s="1"/>
      <c r="T58" s="1"/>
    </row>
    <row r="59" spans="14:20" ht="12.75">
      <c r="P59" s="1"/>
      <c r="Q59" s="1"/>
      <c r="T59" s="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
  <sheetViews>
    <sheetView workbookViewId="0"/>
  </sheetViews>
  <sheetFormatPr defaultColWidth="14.42578125" defaultRowHeight="15.75" customHeight="1"/>
  <cols>
    <col min="2" max="2" width="16.7109375" customWidth="1"/>
    <col min="3" max="3" width="19.140625" customWidth="1"/>
    <col min="5" max="5" width="17.42578125" customWidth="1"/>
    <col min="6" max="6" width="17.85546875" customWidth="1"/>
  </cols>
  <sheetData>
    <row r="1" spans="1:26" ht="15.75" customHeight="1">
      <c r="A1" s="103" t="s">
        <v>1049</v>
      </c>
      <c r="B1" s="103" t="s">
        <v>1050</v>
      </c>
      <c r="C1" s="166"/>
      <c r="D1" s="166"/>
      <c r="E1" s="166"/>
      <c r="F1" s="166"/>
      <c r="G1" s="166"/>
      <c r="H1" s="166"/>
      <c r="I1" s="166"/>
      <c r="J1" s="166"/>
      <c r="K1" s="166"/>
      <c r="L1" s="166"/>
      <c r="M1" s="166"/>
      <c r="N1" s="166"/>
      <c r="O1" s="166"/>
      <c r="P1" s="166"/>
      <c r="Q1" s="166"/>
      <c r="R1" s="166"/>
      <c r="S1" s="166"/>
      <c r="T1" s="166"/>
      <c r="U1" s="166"/>
      <c r="V1" s="166"/>
      <c r="W1" s="166"/>
      <c r="X1" s="166"/>
      <c r="Y1" s="166"/>
      <c r="Z1" s="166"/>
    </row>
    <row r="2" spans="1:26" ht="15.75" customHeight="1">
      <c r="A2" s="166" t="s">
        <v>1051</v>
      </c>
      <c r="B2" s="166" t="s">
        <v>1052</v>
      </c>
      <c r="C2" s="166" t="s">
        <v>1053</v>
      </c>
      <c r="D2" s="166" t="s">
        <v>1054</v>
      </c>
      <c r="E2" s="103" t="s">
        <v>1055</v>
      </c>
      <c r="F2" s="166" t="s">
        <v>1056</v>
      </c>
      <c r="G2" s="103" t="s">
        <v>1057</v>
      </c>
      <c r="H2" s="166"/>
      <c r="I2" s="166"/>
      <c r="J2" s="166"/>
      <c r="K2" s="166"/>
      <c r="L2" s="166"/>
      <c r="M2" s="166"/>
      <c r="N2" s="166"/>
      <c r="O2" s="166"/>
      <c r="P2" s="166"/>
      <c r="Q2" s="166"/>
      <c r="R2" s="166"/>
      <c r="S2" s="166"/>
      <c r="T2" s="166"/>
      <c r="U2" s="166"/>
      <c r="V2" s="166"/>
      <c r="W2" s="166"/>
      <c r="X2" s="166"/>
      <c r="Y2" s="166"/>
      <c r="Z2" s="166"/>
    </row>
    <row r="3" spans="1:26" ht="15.75" customHeight="1">
      <c r="A3" s="90" t="s">
        <v>1058</v>
      </c>
      <c r="B3" s="90">
        <v>0.48530000000000001</v>
      </c>
      <c r="C3" s="90">
        <v>0.56610000000000005</v>
      </c>
      <c r="D3" s="90">
        <v>15</v>
      </c>
      <c r="E3" s="91">
        <f t="shared" ref="E3:E7" si="0">C3-B3</f>
        <v>8.0800000000000038E-2</v>
      </c>
      <c r="F3" s="92"/>
      <c r="G3" s="90">
        <v>-9.7999999999999997E-3</v>
      </c>
      <c r="H3" s="92"/>
      <c r="I3" s="92"/>
      <c r="J3" s="92"/>
      <c r="K3" s="92"/>
      <c r="L3" s="92"/>
      <c r="M3" s="92"/>
      <c r="N3" s="92"/>
      <c r="O3" s="92"/>
      <c r="P3" s="92"/>
      <c r="Q3" s="92"/>
      <c r="R3" s="92"/>
      <c r="S3" s="92"/>
      <c r="T3" s="92"/>
      <c r="U3" s="92"/>
      <c r="V3" s="92"/>
      <c r="W3" s="92"/>
      <c r="X3" s="92"/>
      <c r="Y3" s="92"/>
      <c r="Z3" s="92"/>
    </row>
    <row r="4" spans="1:26" ht="15.75" customHeight="1">
      <c r="A4" s="90" t="s">
        <v>1059</v>
      </c>
      <c r="B4" s="90">
        <v>0.4839</v>
      </c>
      <c r="C4" s="90">
        <v>0.4849</v>
      </c>
      <c r="D4" s="90">
        <v>30</v>
      </c>
      <c r="E4" s="91">
        <f t="shared" si="0"/>
        <v>1.0000000000000009E-3</v>
      </c>
      <c r="F4" s="92"/>
      <c r="G4" s="90">
        <v>-9.7999999999999997E-3</v>
      </c>
      <c r="H4" s="92"/>
      <c r="I4" s="92"/>
      <c r="J4" s="92"/>
      <c r="K4" s="92"/>
      <c r="L4" s="92"/>
      <c r="M4" s="92"/>
      <c r="N4" s="92"/>
      <c r="O4" s="92"/>
      <c r="P4" s="92"/>
      <c r="Q4" s="92"/>
      <c r="R4" s="92"/>
      <c r="S4" s="92"/>
      <c r="T4" s="92"/>
      <c r="U4" s="92"/>
      <c r="V4" s="92"/>
      <c r="W4" s="92"/>
      <c r="X4" s="92"/>
      <c r="Y4" s="92"/>
      <c r="Z4" s="92"/>
    </row>
    <row r="5" spans="1:26" ht="15.75" customHeight="1">
      <c r="A5" s="90" t="s">
        <v>1060</v>
      </c>
      <c r="B5" s="90">
        <v>0.47549999999999998</v>
      </c>
      <c r="C5" s="90">
        <v>0.47299999999999998</v>
      </c>
      <c r="D5" s="90">
        <v>60</v>
      </c>
      <c r="E5" s="91">
        <f t="shared" si="0"/>
        <v>-2.5000000000000022E-3</v>
      </c>
      <c r="F5" s="92"/>
      <c r="G5" s="90">
        <v>-9.7999999999999997E-3</v>
      </c>
      <c r="H5" s="92"/>
      <c r="I5" s="92"/>
      <c r="J5" s="92"/>
      <c r="K5" s="92"/>
      <c r="L5" s="92"/>
      <c r="M5" s="92"/>
      <c r="N5" s="92"/>
      <c r="O5" s="92"/>
      <c r="P5" s="92"/>
      <c r="Q5" s="92"/>
      <c r="R5" s="92"/>
      <c r="S5" s="92"/>
      <c r="T5" s="92"/>
      <c r="U5" s="92"/>
      <c r="V5" s="92"/>
      <c r="W5" s="92"/>
      <c r="X5" s="92"/>
      <c r="Y5" s="92"/>
      <c r="Z5" s="92"/>
    </row>
    <row r="6" spans="1:26" ht="15.75" customHeight="1">
      <c r="A6" s="169" t="s">
        <v>1061</v>
      </c>
      <c r="B6" s="169">
        <v>0.22389999999999999</v>
      </c>
      <c r="C6" s="169">
        <v>0.25180000000000002</v>
      </c>
      <c r="D6" s="169">
        <v>15</v>
      </c>
      <c r="E6" s="170">
        <f t="shared" si="0"/>
        <v>2.7900000000000036E-2</v>
      </c>
      <c r="F6" s="171"/>
      <c r="G6" s="169">
        <v>-2.2000000000000001E-3</v>
      </c>
      <c r="H6" s="171"/>
      <c r="I6" s="171"/>
      <c r="J6" s="171"/>
      <c r="K6" s="171"/>
      <c r="L6" s="171"/>
      <c r="M6" s="171"/>
      <c r="N6" s="171"/>
      <c r="O6" s="171"/>
      <c r="P6" s="171"/>
      <c r="Q6" s="171"/>
      <c r="R6" s="171"/>
      <c r="S6" s="171"/>
      <c r="T6" s="171"/>
      <c r="U6" s="171"/>
      <c r="V6" s="171"/>
      <c r="W6" s="171"/>
      <c r="X6" s="171"/>
      <c r="Y6" s="171"/>
      <c r="Z6" s="171"/>
    </row>
    <row r="7" spans="1:26" ht="15.75" customHeight="1">
      <c r="A7" s="169" t="s">
        <v>1062</v>
      </c>
      <c r="B7" s="169">
        <v>0.22120000000000001</v>
      </c>
      <c r="C7" s="169">
        <v>0.22040000000000001</v>
      </c>
      <c r="D7" s="169">
        <v>30</v>
      </c>
      <c r="E7" s="170">
        <f t="shared" si="0"/>
        <v>-7.9999999999999516E-4</v>
      </c>
      <c r="F7" s="171"/>
      <c r="G7" s="169">
        <v>-2.2000000000000001E-3</v>
      </c>
      <c r="H7" s="171"/>
      <c r="I7" s="171"/>
      <c r="J7" s="171"/>
      <c r="K7" s="171"/>
      <c r="L7" s="171"/>
      <c r="M7" s="171"/>
      <c r="N7" s="171"/>
      <c r="O7" s="171"/>
      <c r="P7" s="171"/>
      <c r="Q7" s="171"/>
      <c r="R7" s="171"/>
      <c r="S7" s="171"/>
      <c r="T7" s="171"/>
      <c r="U7" s="171"/>
      <c r="V7" s="171"/>
      <c r="W7" s="171"/>
      <c r="X7" s="171"/>
      <c r="Y7" s="171"/>
      <c r="Z7" s="171"/>
    </row>
    <row r="8" spans="1:26" ht="15.75" customHeight="1">
      <c r="A8" s="169" t="s">
        <v>1063</v>
      </c>
      <c r="B8" s="172" t="s">
        <v>1064</v>
      </c>
      <c r="C8" s="169">
        <v>0.2324</v>
      </c>
      <c r="D8" s="169">
        <v>60</v>
      </c>
      <c r="E8" s="171">
        <f>0.2324-0.233</f>
        <v>-6.0000000000001719E-4</v>
      </c>
      <c r="F8" s="171"/>
      <c r="G8" s="169">
        <v>-2.2000000000000001E-3</v>
      </c>
      <c r="H8" s="171"/>
      <c r="I8" s="171"/>
      <c r="J8" s="171"/>
      <c r="K8" s="171"/>
      <c r="L8" s="171"/>
      <c r="M8" s="171"/>
      <c r="N8" s="171"/>
      <c r="O8" s="171"/>
      <c r="P8" s="171"/>
      <c r="Q8" s="171"/>
      <c r="R8" s="171"/>
      <c r="S8" s="171"/>
      <c r="T8" s="171"/>
      <c r="U8" s="171"/>
      <c r="V8" s="171"/>
      <c r="W8" s="171"/>
      <c r="X8" s="171"/>
      <c r="Y8" s="171"/>
      <c r="Z8" s="171"/>
    </row>
    <row r="10" spans="1:26" ht="15.75" customHeight="1">
      <c r="A10" s="1" t="s">
        <v>1065</v>
      </c>
      <c r="C10" s="1" t="s">
        <v>1066</v>
      </c>
    </row>
    <row r="11" spans="1:26" ht="15.75" customHeight="1">
      <c r="A11" s="166" t="s">
        <v>1051</v>
      </c>
      <c r="B11" s="166" t="s">
        <v>1052</v>
      </c>
      <c r="C11" s="166" t="s">
        <v>1053</v>
      </c>
      <c r="D11" s="166" t="s">
        <v>1054</v>
      </c>
      <c r="E11" s="103" t="s">
        <v>1057</v>
      </c>
      <c r="F11" s="166"/>
    </row>
    <row r="12" spans="1:26" ht="15.75" customHeight="1">
      <c r="A12" s="90" t="s">
        <v>1067</v>
      </c>
      <c r="B12" s="90">
        <v>0.47020000000000001</v>
      </c>
      <c r="C12" s="90">
        <v>0.46039999999999998</v>
      </c>
      <c r="D12" s="90">
        <v>30</v>
      </c>
      <c r="E12" s="91">
        <f>B12-C12</f>
        <v>9.8000000000000309E-3</v>
      </c>
      <c r="F12" s="92"/>
      <c r="G12" s="92"/>
      <c r="H12" s="92"/>
      <c r="I12" s="92"/>
      <c r="J12" s="92"/>
      <c r="K12" s="92"/>
      <c r="L12" s="92"/>
      <c r="M12" s="92"/>
      <c r="N12" s="92"/>
      <c r="O12" s="92"/>
      <c r="P12" s="92"/>
      <c r="Q12" s="92"/>
      <c r="R12" s="92"/>
      <c r="S12" s="92"/>
      <c r="T12" s="92"/>
      <c r="U12" s="92"/>
      <c r="V12" s="92"/>
      <c r="W12" s="92"/>
      <c r="X12" s="92"/>
      <c r="Y12" s="92"/>
      <c r="Z12" s="92"/>
    </row>
    <row r="13" spans="1:26" ht="15.75" customHeight="1">
      <c r="A13" s="90" t="s">
        <v>1068</v>
      </c>
      <c r="B13" s="90">
        <v>0.47539999999999999</v>
      </c>
      <c r="C13" s="92"/>
      <c r="D13" s="90">
        <v>30</v>
      </c>
      <c r="E13" s="92"/>
      <c r="F13" s="92"/>
      <c r="G13" s="92"/>
      <c r="H13" s="92"/>
      <c r="I13" s="92"/>
      <c r="J13" s="92"/>
      <c r="K13" s="92"/>
      <c r="L13" s="92"/>
      <c r="M13" s="92"/>
      <c r="N13" s="92"/>
      <c r="O13" s="92"/>
      <c r="P13" s="92"/>
      <c r="Q13" s="92"/>
      <c r="R13" s="92"/>
      <c r="S13" s="92"/>
      <c r="T13" s="92"/>
      <c r="U13" s="92"/>
      <c r="V13" s="92"/>
      <c r="W13" s="92"/>
      <c r="X13" s="92"/>
      <c r="Y13" s="92"/>
      <c r="Z13" s="92"/>
    </row>
    <row r="14" spans="1:26" ht="15.75" customHeight="1">
      <c r="A14" s="173" t="s">
        <v>1069</v>
      </c>
      <c r="B14" s="173">
        <v>0.2208</v>
      </c>
      <c r="C14" s="173">
        <v>0.21859999999999999</v>
      </c>
      <c r="D14" s="173">
        <v>30</v>
      </c>
      <c r="E14" s="170">
        <f>B14-C14</f>
        <v>2.2000000000000075E-3</v>
      </c>
      <c r="F14" s="174"/>
      <c r="G14" s="174"/>
      <c r="H14" s="174"/>
      <c r="I14" s="174"/>
      <c r="J14" s="174"/>
      <c r="K14" s="174"/>
      <c r="L14" s="174"/>
      <c r="M14" s="174"/>
      <c r="N14" s="174"/>
      <c r="O14" s="174"/>
      <c r="P14" s="174"/>
      <c r="Q14" s="174"/>
      <c r="R14" s="174"/>
      <c r="S14" s="174"/>
      <c r="T14" s="174"/>
      <c r="U14" s="174"/>
      <c r="V14" s="174"/>
      <c r="W14" s="174"/>
      <c r="X14" s="174"/>
      <c r="Y14" s="174"/>
      <c r="Z14" s="174"/>
    </row>
    <row r="15" spans="1:26" ht="15.75" customHeight="1">
      <c r="A15" s="173" t="s">
        <v>1070</v>
      </c>
      <c r="B15" s="173">
        <v>0.23449999999999999</v>
      </c>
      <c r="C15" s="174"/>
      <c r="D15" s="173">
        <v>30</v>
      </c>
      <c r="E15" s="171"/>
      <c r="F15" s="174"/>
      <c r="G15" s="174"/>
      <c r="H15" s="174"/>
      <c r="I15" s="174"/>
      <c r="J15" s="174"/>
      <c r="K15" s="174"/>
      <c r="L15" s="174"/>
      <c r="M15" s="174"/>
      <c r="N15" s="174"/>
      <c r="O15" s="174"/>
      <c r="P15" s="174"/>
      <c r="Q15" s="174"/>
      <c r="R15" s="174"/>
      <c r="S15" s="174"/>
      <c r="T15" s="174"/>
      <c r="U15" s="174"/>
      <c r="V15" s="174"/>
      <c r="W15" s="174"/>
      <c r="X15" s="174"/>
      <c r="Y15" s="174"/>
      <c r="Z15" s="174"/>
    </row>
  </sheetData>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7"/>
  <sheetViews>
    <sheetView workbookViewId="0"/>
  </sheetViews>
  <sheetFormatPr defaultColWidth="14.42578125" defaultRowHeight="15.75" customHeight="1"/>
  <cols>
    <col min="6" max="6" width="30.85546875" customWidth="1"/>
    <col min="11" max="11" width="30" customWidth="1"/>
  </cols>
  <sheetData>
    <row r="1" spans="1:42" ht="15.75" customHeight="1">
      <c r="A1" s="1" t="s">
        <v>1001</v>
      </c>
    </row>
    <row r="2" spans="1:42" ht="15.75" customHeight="1">
      <c r="Y2" s="1" t="s">
        <v>1071</v>
      </c>
    </row>
    <row r="3" spans="1:42" ht="15.75" customHeight="1">
      <c r="A3" s="114" t="s">
        <v>1</v>
      </c>
      <c r="B3" s="110" t="s">
        <v>658</v>
      </c>
      <c r="C3" s="114" t="s">
        <v>659</v>
      </c>
      <c r="D3" s="114" t="s">
        <v>660</v>
      </c>
      <c r="E3" s="114" t="s">
        <v>661</v>
      </c>
      <c r="F3" s="114" t="s">
        <v>1032</v>
      </c>
      <c r="G3" s="110" t="s">
        <v>1072</v>
      </c>
      <c r="H3" s="110" t="s">
        <v>585</v>
      </c>
      <c r="I3" s="110" t="s">
        <v>999</v>
      </c>
      <c r="J3" s="114" t="s">
        <v>97</v>
      </c>
      <c r="K3" s="114" t="s">
        <v>664</v>
      </c>
      <c r="L3" s="114" t="s">
        <v>665</v>
      </c>
      <c r="M3" s="114" t="s">
        <v>666</v>
      </c>
      <c r="N3" s="114" t="s">
        <v>667</v>
      </c>
      <c r="P3" s="114"/>
      <c r="Q3" s="1" t="s">
        <v>6</v>
      </c>
      <c r="R3" s="1" t="s">
        <v>7</v>
      </c>
      <c r="S3" s="1" t="s">
        <v>8</v>
      </c>
      <c r="T3" s="1" t="s">
        <v>9</v>
      </c>
      <c r="U3" s="1" t="s">
        <v>10</v>
      </c>
      <c r="V3" s="103" t="s">
        <v>11</v>
      </c>
      <c r="W3" s="103" t="s">
        <v>397</v>
      </c>
      <c r="X3" s="103" t="s">
        <v>1000</v>
      </c>
      <c r="Y3" s="1" t="s">
        <v>6</v>
      </c>
      <c r="Z3" s="1" t="s">
        <v>7</v>
      </c>
      <c r="AA3" s="1" t="s">
        <v>8</v>
      </c>
      <c r="AB3" s="1" t="s">
        <v>9</v>
      </c>
      <c r="AC3" s="1" t="s">
        <v>10</v>
      </c>
      <c r="AD3" s="103" t="s">
        <v>11</v>
      </c>
      <c r="AE3" s="103" t="s">
        <v>397</v>
      </c>
      <c r="AF3" s="103" t="s">
        <v>1000</v>
      </c>
      <c r="AL3" s="1"/>
    </row>
    <row r="4" spans="1:42" ht="15.75" customHeight="1">
      <c r="A4" s="114" t="s">
        <v>962</v>
      </c>
      <c r="B4" s="114"/>
      <c r="C4" s="114"/>
      <c r="D4" s="114"/>
      <c r="E4" s="114"/>
      <c r="F4" s="114"/>
      <c r="G4" s="114"/>
      <c r="H4" s="110"/>
      <c r="I4" s="110" t="s">
        <v>1008</v>
      </c>
      <c r="J4" s="114"/>
      <c r="K4" s="114"/>
      <c r="L4" s="114"/>
      <c r="N4" s="114"/>
      <c r="Q4" s="1"/>
      <c r="R4" s="1"/>
      <c r="S4" s="1"/>
      <c r="T4" s="1"/>
      <c r="V4" s="103"/>
      <c r="W4" s="103">
        <v>340</v>
      </c>
      <c r="X4" s="103"/>
      <c r="Y4" s="103"/>
      <c r="Z4" s="1"/>
      <c r="AA4" s="1"/>
      <c r="AB4" s="1"/>
      <c r="AC4" s="103"/>
      <c r="AD4" s="1"/>
      <c r="AE4" s="1">
        <v>340</v>
      </c>
      <c r="AG4" s="103"/>
      <c r="AH4" s="103"/>
      <c r="AI4" s="103"/>
      <c r="AJ4" s="1"/>
      <c r="AL4" s="1"/>
      <c r="AM4" s="1"/>
      <c r="AN4" s="1"/>
      <c r="AO4" s="1"/>
      <c r="AP4" s="1"/>
    </row>
    <row r="5" spans="1:42" ht="15.75" customHeight="1">
      <c r="A5" s="110" t="s">
        <v>17</v>
      </c>
      <c r="B5" s="110" t="s">
        <v>669</v>
      </c>
      <c r="C5" s="110" t="s">
        <v>591</v>
      </c>
      <c r="D5" s="111">
        <v>4</v>
      </c>
      <c r="E5" s="127">
        <f t="shared" ref="E5:E10" si="0">D5+L5/1000</f>
        <v>4.2</v>
      </c>
      <c r="F5" s="110" t="s">
        <v>1073</v>
      </c>
      <c r="G5" s="112"/>
      <c r="H5" s="110" t="s">
        <v>1003</v>
      </c>
      <c r="I5" s="112">
        <v>11</v>
      </c>
      <c r="J5" s="111">
        <v>1</v>
      </c>
      <c r="K5" s="111">
        <v>10</v>
      </c>
      <c r="L5" s="112">
        <v>200</v>
      </c>
      <c r="M5" s="112">
        <v>10</v>
      </c>
      <c r="N5" s="112">
        <v>50</v>
      </c>
      <c r="P5" s="114" t="s">
        <v>17</v>
      </c>
      <c r="Q5" s="123">
        <v>12125</v>
      </c>
      <c r="R5" s="123"/>
      <c r="S5" s="123">
        <v>318</v>
      </c>
      <c r="T5" s="123">
        <v>1046</v>
      </c>
      <c r="U5" s="1">
        <v>77</v>
      </c>
      <c r="V5">
        <f t="shared" ref="V5:V16" si="1">$W$4/S5*T5</f>
        <v>1118.3647798742138</v>
      </c>
      <c r="X5" s="1"/>
      <c r="Y5" s="1">
        <v>12960.5</v>
      </c>
      <c r="Z5" s="1">
        <v>0</v>
      </c>
      <c r="AA5" s="1">
        <v>329.6</v>
      </c>
      <c r="AB5" s="1">
        <v>877.3</v>
      </c>
      <c r="AC5" s="1">
        <v>136.4</v>
      </c>
      <c r="AD5">
        <f t="shared" ref="AD5:AD16" si="2">$AE$4/AA5*AB5</f>
        <v>904.98179611650471</v>
      </c>
      <c r="AH5" s="1"/>
    </row>
    <row r="6" spans="1:42" ht="15.75" customHeight="1">
      <c r="A6" s="110" t="s">
        <v>18</v>
      </c>
      <c r="B6" s="110" t="s">
        <v>669</v>
      </c>
      <c r="C6" s="110" t="s">
        <v>591</v>
      </c>
      <c r="D6" s="111">
        <v>4</v>
      </c>
      <c r="E6" s="127">
        <f t="shared" si="0"/>
        <v>4.2</v>
      </c>
      <c r="F6" s="110" t="s">
        <v>1073</v>
      </c>
      <c r="G6" s="112"/>
      <c r="H6" s="110" t="s">
        <v>1003</v>
      </c>
      <c r="I6" s="112">
        <v>11</v>
      </c>
      <c r="J6" s="111">
        <v>1</v>
      </c>
      <c r="K6" s="111">
        <v>10</v>
      </c>
      <c r="L6" s="112">
        <v>200</v>
      </c>
      <c r="M6" s="112">
        <v>10</v>
      </c>
      <c r="N6" s="112">
        <v>50</v>
      </c>
      <c r="P6" s="114" t="s">
        <v>18</v>
      </c>
      <c r="Q6" s="123">
        <v>12122</v>
      </c>
      <c r="R6" s="123"/>
      <c r="S6" s="123">
        <v>307</v>
      </c>
      <c r="T6" s="123">
        <v>1184</v>
      </c>
      <c r="U6" s="1">
        <v>36</v>
      </c>
      <c r="V6">
        <f t="shared" si="1"/>
        <v>1311.2703583061889</v>
      </c>
      <c r="Y6" s="1">
        <v>12476.5</v>
      </c>
      <c r="Z6" s="1">
        <v>0</v>
      </c>
      <c r="AA6" s="1">
        <v>312.89999999999998</v>
      </c>
      <c r="AB6" s="1">
        <v>1079.2</v>
      </c>
      <c r="AC6" s="1">
        <v>59.8</v>
      </c>
      <c r="AD6">
        <f t="shared" si="2"/>
        <v>1172.6685842122083</v>
      </c>
    </row>
    <row r="7" spans="1:42" ht="15.75" customHeight="1">
      <c r="A7" s="110" t="s">
        <v>19</v>
      </c>
      <c r="B7" s="110" t="s">
        <v>669</v>
      </c>
      <c r="C7" s="110" t="s">
        <v>591</v>
      </c>
      <c r="D7" s="111">
        <v>4</v>
      </c>
      <c r="E7" s="127">
        <f t="shared" si="0"/>
        <v>4.2</v>
      </c>
      <c r="F7" s="110" t="s">
        <v>1073</v>
      </c>
      <c r="G7" s="112"/>
      <c r="H7" s="110" t="s">
        <v>1003</v>
      </c>
      <c r="I7" s="112" t="s">
        <v>1074</v>
      </c>
      <c r="J7" s="111">
        <v>1</v>
      </c>
      <c r="K7" s="111">
        <v>10</v>
      </c>
      <c r="L7" s="112">
        <v>200</v>
      </c>
      <c r="M7" s="112">
        <v>10</v>
      </c>
      <c r="N7" s="112">
        <v>50</v>
      </c>
      <c r="P7" s="114" t="s">
        <v>19</v>
      </c>
      <c r="Q7" s="123">
        <v>11975</v>
      </c>
      <c r="R7" s="123"/>
      <c r="S7" s="123">
        <v>321</v>
      </c>
      <c r="T7" s="123">
        <v>1183</v>
      </c>
      <c r="U7" s="1">
        <v>24</v>
      </c>
      <c r="V7">
        <f t="shared" si="1"/>
        <v>1253.0218068535823</v>
      </c>
      <c r="Y7" s="1">
        <v>11986.5</v>
      </c>
      <c r="Z7" s="1">
        <v>0</v>
      </c>
      <c r="AA7" s="1">
        <v>311.89999999999998</v>
      </c>
      <c r="AB7" s="1">
        <v>1065.5999999999999</v>
      </c>
      <c r="AC7" s="1">
        <v>63.7</v>
      </c>
      <c r="AD7">
        <f t="shared" si="2"/>
        <v>1161.6030779095863</v>
      </c>
      <c r="AE7" s="1"/>
      <c r="AF7" s="1"/>
      <c r="AG7" s="1"/>
      <c r="AH7" s="1"/>
      <c r="AI7" s="1"/>
      <c r="AJ7" s="1"/>
      <c r="AK7" s="1"/>
    </row>
    <row r="8" spans="1:42" ht="15.75" customHeight="1">
      <c r="A8" s="110" t="s">
        <v>20</v>
      </c>
      <c r="B8" s="1" t="s">
        <v>675</v>
      </c>
      <c r="C8" s="110" t="s">
        <v>591</v>
      </c>
      <c r="D8" s="111">
        <v>4</v>
      </c>
      <c r="E8" s="127">
        <f t="shared" si="0"/>
        <v>4.2</v>
      </c>
      <c r="F8" s="110" t="s">
        <v>1075</v>
      </c>
      <c r="G8" s="112"/>
      <c r="H8" s="110" t="s">
        <v>1003</v>
      </c>
      <c r="I8" s="112">
        <v>0</v>
      </c>
      <c r="J8" s="112">
        <v>2</v>
      </c>
      <c r="K8" s="111">
        <v>10</v>
      </c>
      <c r="L8" s="112">
        <v>200</v>
      </c>
      <c r="M8" s="112">
        <v>10</v>
      </c>
      <c r="N8" s="112">
        <v>50</v>
      </c>
      <c r="P8" s="114" t="s">
        <v>20</v>
      </c>
      <c r="Q8" s="103">
        <v>12145</v>
      </c>
      <c r="R8" s="103"/>
      <c r="S8" s="103">
        <v>319</v>
      </c>
      <c r="T8" s="103">
        <v>1132</v>
      </c>
      <c r="U8" s="1">
        <v>52</v>
      </c>
      <c r="V8">
        <f t="shared" si="1"/>
        <v>1206.5203761755486</v>
      </c>
      <c r="Y8" s="1">
        <v>12763.4</v>
      </c>
      <c r="Z8" s="1">
        <v>0</v>
      </c>
      <c r="AA8" s="1">
        <v>328.7</v>
      </c>
      <c r="AB8" s="1">
        <v>923.9</v>
      </c>
      <c r="AC8" s="1">
        <v>125</v>
      </c>
      <c r="AD8">
        <f t="shared" si="2"/>
        <v>955.66169759659272</v>
      </c>
      <c r="AE8" s="1"/>
      <c r="AL8" s="1"/>
      <c r="AN8" s="1"/>
      <c r="AP8" s="1"/>
    </row>
    <row r="9" spans="1:42" ht="15.75" customHeight="1">
      <c r="A9" s="110" t="s">
        <v>21</v>
      </c>
      <c r="B9" s="1" t="s">
        <v>675</v>
      </c>
      <c r="C9" s="110" t="s">
        <v>591</v>
      </c>
      <c r="D9" s="111">
        <v>4</v>
      </c>
      <c r="E9" s="127">
        <f t="shared" si="0"/>
        <v>4.2</v>
      </c>
      <c r="F9" s="110" t="s">
        <v>1075</v>
      </c>
      <c r="G9" s="112"/>
      <c r="H9" s="110" t="s">
        <v>1003</v>
      </c>
      <c r="I9" s="112">
        <v>0</v>
      </c>
      <c r="J9" s="112">
        <v>2</v>
      </c>
      <c r="K9" s="111">
        <v>10</v>
      </c>
      <c r="L9" s="112">
        <v>200</v>
      </c>
      <c r="M9" s="112">
        <v>10</v>
      </c>
      <c r="N9" s="112">
        <v>50</v>
      </c>
      <c r="P9" s="114" t="s">
        <v>21</v>
      </c>
      <c r="Q9" s="103">
        <v>12380</v>
      </c>
      <c r="R9" s="175"/>
      <c r="S9" s="1">
        <v>328</v>
      </c>
      <c r="T9" s="1">
        <v>1025</v>
      </c>
      <c r="U9" s="1">
        <v>97</v>
      </c>
      <c r="V9">
        <f t="shared" si="1"/>
        <v>1062.5</v>
      </c>
      <c r="Y9" s="1">
        <v>12470.1</v>
      </c>
      <c r="Z9" s="1">
        <v>0</v>
      </c>
      <c r="AA9" s="1">
        <v>348.3</v>
      </c>
      <c r="AB9" s="1">
        <v>923.4</v>
      </c>
      <c r="AC9" s="1">
        <v>124</v>
      </c>
      <c r="AD9">
        <f t="shared" si="2"/>
        <v>901.39534883720921</v>
      </c>
      <c r="AE9" s="1"/>
      <c r="AL9" s="1"/>
      <c r="AN9" s="1"/>
      <c r="AP9" s="1"/>
    </row>
    <row r="10" spans="1:42" ht="15.75" customHeight="1">
      <c r="A10" s="110" t="s">
        <v>1076</v>
      </c>
      <c r="B10" s="1" t="s">
        <v>675</v>
      </c>
      <c r="C10" s="110" t="s">
        <v>591</v>
      </c>
      <c r="D10" s="111">
        <v>4</v>
      </c>
      <c r="E10" s="127">
        <f t="shared" si="0"/>
        <v>4.2</v>
      </c>
      <c r="F10" s="110" t="s">
        <v>1075</v>
      </c>
      <c r="G10" s="112"/>
      <c r="H10" s="110" t="s">
        <v>1003</v>
      </c>
      <c r="I10" s="112" t="s">
        <v>1074</v>
      </c>
      <c r="J10" s="112">
        <v>2</v>
      </c>
      <c r="K10" s="111">
        <v>10</v>
      </c>
      <c r="L10" s="112">
        <v>200</v>
      </c>
      <c r="M10" s="112">
        <v>10</v>
      </c>
      <c r="N10" s="112">
        <v>50</v>
      </c>
      <c r="P10" s="114" t="s">
        <v>22</v>
      </c>
      <c r="Q10" s="1">
        <v>12488</v>
      </c>
      <c r="R10" s="1"/>
      <c r="S10" s="1">
        <v>318</v>
      </c>
      <c r="T10" s="1">
        <v>1177</v>
      </c>
      <c r="U10" s="1">
        <v>37</v>
      </c>
      <c r="V10">
        <f t="shared" si="1"/>
        <v>1258.4276729559749</v>
      </c>
      <c r="Y10" s="1">
        <v>12363.7</v>
      </c>
      <c r="Z10" s="1">
        <v>0</v>
      </c>
      <c r="AA10" s="1">
        <v>319</v>
      </c>
      <c r="AB10" s="1">
        <v>941.6</v>
      </c>
      <c r="AC10" s="1">
        <v>91.3</v>
      </c>
      <c r="AD10">
        <f t="shared" si="2"/>
        <v>1003.5862068965517</v>
      </c>
      <c r="AE10" s="1"/>
      <c r="AF10" s="1"/>
      <c r="AH10" s="1"/>
      <c r="AI10" s="1"/>
      <c r="AJ10" s="1"/>
      <c r="AK10" s="1"/>
      <c r="AL10" s="1"/>
      <c r="AM10" s="1"/>
      <c r="AN10" s="1"/>
      <c r="AO10" s="1"/>
      <c r="AP10" s="1"/>
    </row>
    <row r="11" spans="1:42" ht="15.75" customHeight="1">
      <c r="A11" s="110" t="s">
        <v>23</v>
      </c>
      <c r="B11" s="110" t="s">
        <v>678</v>
      </c>
      <c r="C11" s="110" t="s">
        <v>1077</v>
      </c>
      <c r="D11" s="112">
        <v>4</v>
      </c>
      <c r="E11" s="112">
        <v>4.12</v>
      </c>
      <c r="F11" s="110" t="s">
        <v>1073</v>
      </c>
      <c r="G11" s="112"/>
      <c r="H11" s="110" t="s">
        <v>1003</v>
      </c>
      <c r="I11" s="112">
        <v>0</v>
      </c>
      <c r="J11" s="112">
        <v>3</v>
      </c>
      <c r="K11" s="111">
        <v>10</v>
      </c>
      <c r="L11" s="112">
        <v>120</v>
      </c>
      <c r="M11" s="112">
        <v>10</v>
      </c>
      <c r="N11" s="112">
        <v>50</v>
      </c>
      <c r="P11" s="110" t="s">
        <v>23</v>
      </c>
      <c r="Q11" s="1">
        <v>12481</v>
      </c>
      <c r="S11" s="1">
        <v>340</v>
      </c>
      <c r="T11" s="1">
        <v>1026</v>
      </c>
      <c r="U11" s="1">
        <v>109</v>
      </c>
      <c r="V11">
        <f t="shared" si="1"/>
        <v>1026</v>
      </c>
      <c r="Y11" s="1">
        <v>13154.9</v>
      </c>
      <c r="Z11" s="1">
        <v>0</v>
      </c>
      <c r="AA11" s="1">
        <v>360.3</v>
      </c>
      <c r="AB11" s="1">
        <v>692.6</v>
      </c>
      <c r="AC11" s="1">
        <v>221</v>
      </c>
      <c r="AD11">
        <f t="shared" si="2"/>
        <v>653.57757424368583</v>
      </c>
      <c r="AJ11" s="1"/>
      <c r="AK11" s="1"/>
      <c r="AL11" s="1"/>
      <c r="AM11" s="1"/>
      <c r="AN11" s="1"/>
      <c r="AO11" s="1"/>
      <c r="AP11" s="1"/>
    </row>
    <row r="12" spans="1:42" ht="15.75" customHeight="1">
      <c r="A12" s="110" t="s">
        <v>24</v>
      </c>
      <c r="B12" s="110" t="s">
        <v>678</v>
      </c>
      <c r="C12" s="110" t="s">
        <v>1077</v>
      </c>
      <c r="D12" s="112">
        <v>4</v>
      </c>
      <c r="E12" s="112">
        <v>4.12</v>
      </c>
      <c r="F12" s="110" t="s">
        <v>1073</v>
      </c>
      <c r="G12" s="112"/>
      <c r="H12" s="110" t="s">
        <v>1003</v>
      </c>
      <c r="I12" s="112">
        <v>0</v>
      </c>
      <c r="J12" s="112">
        <v>3</v>
      </c>
      <c r="K12" s="111">
        <v>10</v>
      </c>
      <c r="L12" s="112">
        <v>120</v>
      </c>
      <c r="M12" s="112">
        <v>10</v>
      </c>
      <c r="N12" s="112">
        <v>50</v>
      </c>
      <c r="P12" s="110" t="s">
        <v>24</v>
      </c>
      <c r="Q12" s="1">
        <v>12367</v>
      </c>
      <c r="S12" s="1">
        <v>422</v>
      </c>
      <c r="T12" s="1">
        <v>832</v>
      </c>
      <c r="U12" s="1">
        <v>137</v>
      </c>
      <c r="V12">
        <f t="shared" si="1"/>
        <v>670.33175355450237</v>
      </c>
      <c r="Y12" s="1">
        <v>12928.3</v>
      </c>
      <c r="Z12" s="1">
        <v>0</v>
      </c>
      <c r="AA12" s="1">
        <v>558.6</v>
      </c>
      <c r="AB12" s="1">
        <v>329</v>
      </c>
      <c r="AC12" s="1">
        <v>308.5</v>
      </c>
      <c r="AD12">
        <f t="shared" si="2"/>
        <v>200.25062656641603</v>
      </c>
    </row>
    <row r="13" spans="1:42" ht="15.75" customHeight="1">
      <c r="A13" s="110" t="s">
        <v>25</v>
      </c>
      <c r="B13" s="110" t="s">
        <v>678</v>
      </c>
      <c r="C13" s="110" t="s">
        <v>1077</v>
      </c>
      <c r="D13" s="112">
        <v>4</v>
      </c>
      <c r="E13" s="112">
        <v>4.12</v>
      </c>
      <c r="F13" s="110" t="s">
        <v>1073</v>
      </c>
      <c r="G13" s="112"/>
      <c r="H13" s="110" t="s">
        <v>1003</v>
      </c>
      <c r="I13" s="112" t="s">
        <v>1074</v>
      </c>
      <c r="J13" s="112">
        <v>3</v>
      </c>
      <c r="K13" s="111">
        <v>10</v>
      </c>
      <c r="L13" s="112">
        <v>120</v>
      </c>
      <c r="M13" s="112">
        <v>10</v>
      </c>
      <c r="N13" s="112">
        <v>50</v>
      </c>
      <c r="P13" s="110" t="s">
        <v>25</v>
      </c>
      <c r="Q13" s="1">
        <v>12650</v>
      </c>
      <c r="S13" s="1">
        <v>358</v>
      </c>
      <c r="T13" s="1">
        <v>844</v>
      </c>
      <c r="U13" s="1">
        <v>166</v>
      </c>
      <c r="V13">
        <f t="shared" si="1"/>
        <v>801.56424581005581</v>
      </c>
      <c r="Y13" s="1">
        <v>13367.7</v>
      </c>
      <c r="Z13" s="1">
        <v>0</v>
      </c>
      <c r="AA13" s="1">
        <v>470.3</v>
      </c>
      <c r="AB13" s="1">
        <v>267.2</v>
      </c>
      <c r="AC13" s="1">
        <v>364.1</v>
      </c>
      <c r="AD13">
        <f t="shared" si="2"/>
        <v>193.17031681905166</v>
      </c>
      <c r="AF13" s="1"/>
    </row>
    <row r="14" spans="1:42" ht="15.75" customHeight="1">
      <c r="A14" s="110" t="s">
        <v>26</v>
      </c>
      <c r="B14" s="110" t="s">
        <v>1078</v>
      </c>
      <c r="C14" s="110" t="s">
        <v>1077</v>
      </c>
      <c r="D14" s="112">
        <v>4</v>
      </c>
      <c r="E14" s="112">
        <v>4.12</v>
      </c>
      <c r="F14" s="110" t="s">
        <v>1075</v>
      </c>
      <c r="G14" s="112"/>
      <c r="H14" s="110" t="s">
        <v>1003</v>
      </c>
      <c r="I14" s="112">
        <v>11</v>
      </c>
      <c r="J14" s="112">
        <v>4</v>
      </c>
      <c r="K14" s="111">
        <v>10</v>
      </c>
      <c r="L14" s="112">
        <v>120</v>
      </c>
      <c r="M14" s="112">
        <v>10</v>
      </c>
      <c r="N14" s="112">
        <v>50</v>
      </c>
      <c r="P14" s="110" t="s">
        <v>26</v>
      </c>
      <c r="Q14" s="1">
        <v>12508</v>
      </c>
      <c r="S14" s="1">
        <v>339</v>
      </c>
      <c r="T14" s="1">
        <v>969</v>
      </c>
      <c r="U14" s="1">
        <v>124</v>
      </c>
      <c r="V14">
        <f t="shared" si="1"/>
        <v>971.85840707964599</v>
      </c>
      <c r="Y14" s="1">
        <v>13560.4</v>
      </c>
      <c r="Z14" s="1">
        <v>0</v>
      </c>
      <c r="AA14" s="1">
        <v>378</v>
      </c>
      <c r="AB14" s="1">
        <v>544.9</v>
      </c>
      <c r="AC14" s="1">
        <v>241</v>
      </c>
      <c r="AD14">
        <f t="shared" si="2"/>
        <v>490.12169312169306</v>
      </c>
    </row>
    <row r="15" spans="1:42" ht="15.75" customHeight="1">
      <c r="A15" s="110" t="s">
        <v>27</v>
      </c>
      <c r="B15" s="110" t="s">
        <v>1078</v>
      </c>
      <c r="C15" s="110" t="s">
        <v>1077</v>
      </c>
      <c r="D15" s="112">
        <v>4</v>
      </c>
      <c r="E15" s="112">
        <v>4.12</v>
      </c>
      <c r="F15" s="110" t="s">
        <v>1075</v>
      </c>
      <c r="G15" s="112"/>
      <c r="H15" s="110" t="s">
        <v>1003</v>
      </c>
      <c r="I15" s="112">
        <v>11</v>
      </c>
      <c r="J15" s="112">
        <v>4</v>
      </c>
      <c r="K15" s="111">
        <v>10</v>
      </c>
      <c r="L15" s="112">
        <v>120</v>
      </c>
      <c r="M15" s="112">
        <v>10</v>
      </c>
      <c r="N15" s="112">
        <v>50</v>
      </c>
      <c r="P15" s="110" t="s">
        <v>27</v>
      </c>
      <c r="Q15" s="1">
        <v>11947</v>
      </c>
      <c r="S15" s="1">
        <v>323</v>
      </c>
      <c r="T15" s="1">
        <v>1121</v>
      </c>
      <c r="U15" s="1">
        <v>70</v>
      </c>
      <c r="V15">
        <f t="shared" si="1"/>
        <v>1180</v>
      </c>
      <c r="Y15" s="1">
        <v>12498.8</v>
      </c>
      <c r="Z15" s="1">
        <v>0</v>
      </c>
      <c r="AA15" s="1">
        <v>338.7</v>
      </c>
      <c r="AB15" s="1">
        <v>886.3</v>
      </c>
      <c r="AC15" s="1">
        <v>148.6</v>
      </c>
      <c r="AD15">
        <f t="shared" si="2"/>
        <v>889.70180100383823</v>
      </c>
    </row>
    <row r="16" spans="1:42" ht="15.75" customHeight="1">
      <c r="A16" s="110" t="s">
        <v>28</v>
      </c>
      <c r="B16" s="110" t="s">
        <v>1078</v>
      </c>
      <c r="C16" s="110" t="s">
        <v>1077</v>
      </c>
      <c r="D16" s="112">
        <v>4</v>
      </c>
      <c r="E16" s="112">
        <v>4.12</v>
      </c>
      <c r="F16" s="110" t="s">
        <v>1075</v>
      </c>
      <c r="G16" s="112"/>
      <c r="H16" s="110" t="s">
        <v>1003</v>
      </c>
      <c r="I16" s="112" t="s">
        <v>1074</v>
      </c>
      <c r="J16" s="112">
        <v>4</v>
      </c>
      <c r="K16" s="111">
        <v>10</v>
      </c>
      <c r="L16" s="112">
        <v>120</v>
      </c>
      <c r="M16" s="112">
        <v>10</v>
      </c>
      <c r="N16" s="112">
        <v>50</v>
      </c>
      <c r="P16" s="110" t="s">
        <v>28</v>
      </c>
      <c r="Q16" s="1">
        <v>12074</v>
      </c>
      <c r="S16" s="1">
        <v>337</v>
      </c>
      <c r="T16" s="1">
        <v>1050</v>
      </c>
      <c r="U16" s="1">
        <v>92</v>
      </c>
      <c r="V16">
        <f t="shared" si="1"/>
        <v>1059.347181008902</v>
      </c>
      <c r="Y16" s="1">
        <v>12923.8</v>
      </c>
      <c r="Z16" s="1">
        <v>0</v>
      </c>
      <c r="AA16" s="1">
        <v>371.5</v>
      </c>
      <c r="AB16" s="1">
        <v>630.9</v>
      </c>
      <c r="AC16" s="1">
        <v>237.2</v>
      </c>
      <c r="AD16">
        <f t="shared" si="2"/>
        <v>577.40511440107673</v>
      </c>
      <c r="AF16" s="1"/>
    </row>
    <row r="17" spans="1:31" ht="15.75" customHeight="1">
      <c r="Z17" s="1"/>
      <c r="AA17" s="1"/>
      <c r="AB17" s="1"/>
    </row>
    <row r="18" spans="1:31" ht="15.75" customHeight="1">
      <c r="K18" s="1" t="s">
        <v>1079</v>
      </c>
      <c r="L18">
        <f>SUM(L5:L10)</f>
        <v>1200</v>
      </c>
      <c r="Z18" s="1"/>
      <c r="AA18" s="1"/>
      <c r="AB18" s="1"/>
    </row>
    <row r="19" spans="1:31" ht="15.75" customHeight="1">
      <c r="A19" s="1" t="s">
        <v>803</v>
      </c>
      <c r="K19" s="1" t="s">
        <v>966</v>
      </c>
      <c r="L19">
        <f>SUM(L11:L16)</f>
        <v>720</v>
      </c>
    </row>
    <row r="20" spans="1:31" ht="15.75" customHeight="1">
      <c r="A20" s="1" t="s">
        <v>1080</v>
      </c>
      <c r="L20" s="125" t="s">
        <v>968</v>
      </c>
      <c r="M20" s="114"/>
      <c r="N20" s="114"/>
    </row>
    <row r="21" spans="1:31" ht="15.75" customHeight="1">
      <c r="A21" s="1" t="s">
        <v>1081</v>
      </c>
      <c r="L21" s="114" t="s">
        <v>970</v>
      </c>
      <c r="M21" s="114" t="s">
        <v>47</v>
      </c>
      <c r="N21" s="114" t="s">
        <v>300</v>
      </c>
    </row>
    <row r="22" spans="1:31" ht="15.75" customHeight="1">
      <c r="A22" s="1" t="s">
        <v>1082</v>
      </c>
      <c r="D22" s="1"/>
      <c r="K22" s="1"/>
      <c r="L22" s="125" t="s">
        <v>301</v>
      </c>
      <c r="M22" s="126">
        <v>0.3</v>
      </c>
    </row>
    <row r="23" spans="1:31" ht="15.75" customHeight="1">
      <c r="A23" s="1" t="s">
        <v>1083</v>
      </c>
      <c r="D23" s="1"/>
      <c r="E23" s="1"/>
      <c r="F23" s="1"/>
      <c r="G23" s="1"/>
      <c r="K23" s="1" t="s">
        <v>1084</v>
      </c>
      <c r="L23" s="112">
        <v>200</v>
      </c>
      <c r="M23" s="127">
        <f>L23/M22-L23</f>
        <v>466.66666666666674</v>
      </c>
      <c r="N23" s="127">
        <f>SUM(L23:M23)</f>
        <v>666.66666666666674</v>
      </c>
    </row>
    <row r="24" spans="1:31" ht="15.75" customHeight="1">
      <c r="A24" s="1" t="s">
        <v>1085</v>
      </c>
      <c r="D24" s="1"/>
      <c r="E24" s="1"/>
      <c r="F24" s="1"/>
      <c r="G24" s="1"/>
      <c r="L24" s="1" t="s">
        <v>99</v>
      </c>
      <c r="M24" s="126">
        <v>0.3</v>
      </c>
      <c r="W24" s="1"/>
      <c r="X24" s="1"/>
      <c r="Y24" s="1"/>
      <c r="Z24" s="124"/>
    </row>
    <row r="25" spans="1:31" ht="15.75" customHeight="1">
      <c r="A25" s="1"/>
      <c r="D25" s="1"/>
      <c r="E25" s="1"/>
      <c r="F25" s="1"/>
      <c r="G25" s="1"/>
      <c r="K25" s="110" t="s">
        <v>1075</v>
      </c>
      <c r="L25" s="1">
        <v>200</v>
      </c>
      <c r="M25" s="127">
        <f>L25/M24-L25</f>
        <v>466.66666666666674</v>
      </c>
      <c r="N25" s="127">
        <f>SUM(L25:M25)</f>
        <v>666.66666666666674</v>
      </c>
      <c r="Z25" s="124"/>
      <c r="AE25">
        <v>904.98179611650471</v>
      </c>
    </row>
    <row r="26" spans="1:31" ht="15.75" customHeight="1">
      <c r="D26" s="1"/>
      <c r="E26" s="1"/>
      <c r="F26" s="1"/>
      <c r="G26" s="1"/>
      <c r="L26" s="1" t="s">
        <v>101</v>
      </c>
      <c r="M26" s="1">
        <v>0.5</v>
      </c>
      <c r="W26" s="1"/>
      <c r="X26" s="1"/>
      <c r="Y26" s="1"/>
      <c r="AE26">
        <v>1172.6685842122083</v>
      </c>
    </row>
    <row r="27" spans="1:31" ht="15.75" customHeight="1">
      <c r="A27" s="1" t="s">
        <v>1086</v>
      </c>
      <c r="D27" s="1"/>
      <c r="E27" s="1"/>
      <c r="F27" s="1"/>
      <c r="G27" s="1"/>
      <c r="K27" s="1" t="s">
        <v>1087</v>
      </c>
      <c r="L27" s="1">
        <v>200</v>
      </c>
      <c r="M27" s="126">
        <f>L27/M26-L27</f>
        <v>200</v>
      </c>
      <c r="N27" s="127">
        <f>L27+M27</f>
        <v>400</v>
      </c>
      <c r="W27" s="1"/>
      <c r="X27" s="1"/>
      <c r="Y27" s="1"/>
      <c r="AE27">
        <v>1161.6030779095863</v>
      </c>
    </row>
    <row r="28" spans="1:31" ht="15.75" customHeight="1">
      <c r="A28" s="1" t="s">
        <v>1088</v>
      </c>
      <c r="D28" s="1"/>
      <c r="E28" s="1"/>
      <c r="F28" s="1"/>
      <c r="G28" s="1"/>
      <c r="L28" s="1" t="s">
        <v>103</v>
      </c>
      <c r="M28" s="1">
        <v>0.5</v>
      </c>
      <c r="W28" s="1"/>
      <c r="X28" s="1"/>
      <c r="Y28" s="1"/>
      <c r="AE28">
        <v>955.66169759659272</v>
      </c>
    </row>
    <row r="29" spans="1:31" ht="15.75" customHeight="1">
      <c r="A29" s="1" t="s">
        <v>1089</v>
      </c>
      <c r="D29" s="1"/>
      <c r="E29" s="1"/>
      <c r="F29" s="1"/>
      <c r="G29" s="1"/>
      <c r="K29" s="110" t="s">
        <v>1075</v>
      </c>
      <c r="L29" s="1">
        <v>200</v>
      </c>
      <c r="M29" s="126">
        <f>L29/M28-L29</f>
        <v>200</v>
      </c>
      <c r="N29" s="127">
        <f>L29+M29</f>
        <v>400</v>
      </c>
      <c r="W29" s="1"/>
      <c r="X29" s="1"/>
      <c r="Y29" s="1"/>
      <c r="AE29">
        <v>901.39534883720921</v>
      </c>
    </row>
    <row r="30" spans="1:31" ht="15.75" customHeight="1">
      <c r="A30" s="1" t="s">
        <v>1090</v>
      </c>
      <c r="D30" s="1"/>
      <c r="E30" s="1"/>
      <c r="F30" s="1"/>
      <c r="G30" s="1"/>
      <c r="W30" s="1"/>
      <c r="X30" s="1"/>
      <c r="Y30" s="1"/>
      <c r="AE30">
        <v>1003.5862068965517</v>
      </c>
    </row>
    <row r="31" spans="1:31" ht="15.75" customHeight="1">
      <c r="A31" s="1" t="s">
        <v>1091</v>
      </c>
      <c r="D31" s="1"/>
      <c r="E31" s="1"/>
      <c r="F31" s="1"/>
      <c r="G31" s="1"/>
      <c r="W31" s="1"/>
      <c r="X31" s="1"/>
      <c r="Y31" s="1"/>
      <c r="AE31">
        <v>653.57757424368583</v>
      </c>
    </row>
    <row r="32" spans="1:31" ht="15.75" customHeight="1">
      <c r="A32" s="1" t="s">
        <v>1092</v>
      </c>
      <c r="D32" s="1"/>
      <c r="E32" s="1"/>
      <c r="F32" s="1"/>
      <c r="G32" s="1"/>
      <c r="W32" s="1"/>
      <c r="X32" s="1"/>
      <c r="Y32" s="1"/>
      <c r="AE32">
        <v>200.25062656641603</v>
      </c>
    </row>
    <row r="33" spans="1:31" ht="15.75" customHeight="1">
      <c r="D33" s="1"/>
      <c r="E33" s="1"/>
      <c r="F33" s="1"/>
      <c r="G33" s="1"/>
      <c r="W33" s="1"/>
      <c r="X33" s="1"/>
      <c r="Y33" s="1"/>
      <c r="AE33">
        <v>193.17031681905166</v>
      </c>
    </row>
    <row r="34" spans="1:31" ht="15.75" customHeight="1">
      <c r="A34" s="1" t="s">
        <v>1093</v>
      </c>
      <c r="D34" s="1"/>
      <c r="E34" s="1"/>
      <c r="F34" s="1"/>
      <c r="G34" s="1"/>
      <c r="W34" s="1"/>
      <c r="X34" s="1"/>
      <c r="Y34" s="1"/>
      <c r="AE34">
        <v>490.12169312169306</v>
      </c>
    </row>
    <row r="35" spans="1:31" ht="15.75" customHeight="1">
      <c r="A35" s="1" t="s">
        <v>1094</v>
      </c>
      <c r="D35" s="1"/>
      <c r="E35" s="1"/>
      <c r="F35" s="1"/>
      <c r="G35" s="1"/>
      <c r="W35" s="1"/>
      <c r="X35" s="1"/>
      <c r="Y35" s="1"/>
      <c r="AE35">
        <v>889.70180100383823</v>
      </c>
    </row>
    <row r="36" spans="1:31" ht="15.75" customHeight="1">
      <c r="W36" s="1"/>
      <c r="X36" s="1"/>
      <c r="Y36" s="1"/>
      <c r="AE36">
        <v>577.40511440107673</v>
      </c>
    </row>
    <row r="37" spans="1:31" ht="15.75" customHeight="1">
      <c r="W37" s="1"/>
      <c r="X37" s="1"/>
      <c r="Y37" s="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workbookViewId="0"/>
  </sheetViews>
  <sheetFormatPr defaultColWidth="14.42578125" defaultRowHeight="15.75" customHeight="1"/>
  <cols>
    <col min="3" max="3" width="18.140625" customWidth="1"/>
    <col min="4" max="4" width="16" customWidth="1"/>
    <col min="8" max="8" width="18.85546875" customWidth="1"/>
    <col min="9" max="9" width="17.28515625" customWidth="1"/>
    <col min="10" max="10" width="24.140625" customWidth="1"/>
    <col min="12" max="12" width="17.140625" customWidth="1"/>
  </cols>
  <sheetData>
    <row r="1" spans="1:25" ht="15.75" customHeight="1">
      <c r="A1" s="110" t="s">
        <v>1031</v>
      </c>
      <c r="B1" s="114"/>
      <c r="C1" s="114"/>
      <c r="D1" s="114"/>
      <c r="E1" s="114"/>
      <c r="F1" s="110"/>
      <c r="G1" s="114"/>
      <c r="H1" s="114"/>
      <c r="I1" s="114"/>
      <c r="J1" s="114"/>
      <c r="K1" s="114"/>
      <c r="L1" s="1"/>
      <c r="O1" s="1"/>
      <c r="P1" s="1"/>
      <c r="Q1" s="1"/>
      <c r="R1" s="1"/>
      <c r="S1" s="1"/>
      <c r="U1" s="103" t="s">
        <v>8</v>
      </c>
      <c r="V1" s="103">
        <v>340</v>
      </c>
      <c r="W1" s="166"/>
    </row>
    <row r="2" spans="1:25" ht="15.75" customHeight="1">
      <c r="A2" s="114" t="s">
        <v>1</v>
      </c>
      <c r="B2" s="114" t="s">
        <v>659</v>
      </c>
      <c r="C2" s="114" t="s">
        <v>660</v>
      </c>
      <c r="D2" s="114" t="s">
        <v>661</v>
      </c>
      <c r="E2" s="114" t="s">
        <v>1032</v>
      </c>
      <c r="F2" s="110" t="s">
        <v>1033</v>
      </c>
      <c r="G2" s="114" t="s">
        <v>97</v>
      </c>
      <c r="H2" s="114" t="s">
        <v>664</v>
      </c>
      <c r="I2" s="114" t="s">
        <v>665</v>
      </c>
      <c r="J2" s="114" t="s">
        <v>666</v>
      </c>
      <c r="K2" s="114" t="s">
        <v>667</v>
      </c>
      <c r="L2" s="1" t="s">
        <v>1034</v>
      </c>
      <c r="O2" s="1" t="s">
        <v>6</v>
      </c>
      <c r="P2" s="1" t="s">
        <v>7</v>
      </c>
      <c r="Q2" s="1" t="s">
        <v>8</v>
      </c>
      <c r="R2" s="1" t="s">
        <v>9</v>
      </c>
      <c r="S2" s="1" t="s">
        <v>10</v>
      </c>
      <c r="U2" s="103" t="s">
        <v>11</v>
      </c>
      <c r="V2" s="103" t="s">
        <v>216</v>
      </c>
      <c r="W2" s="166"/>
    </row>
    <row r="3" spans="1:25" ht="15.75" customHeight="1">
      <c r="A3" s="114" t="s">
        <v>17</v>
      </c>
      <c r="B3" s="167" t="s">
        <v>1035</v>
      </c>
      <c r="C3" s="111">
        <v>4</v>
      </c>
      <c r="D3" s="127">
        <f t="shared" ref="D3:D19" si="0">C3+I3/1000</f>
        <v>4.2</v>
      </c>
      <c r="E3" s="114" t="s">
        <v>692</v>
      </c>
      <c r="F3" s="112">
        <v>4</v>
      </c>
      <c r="G3" s="111">
        <v>1</v>
      </c>
      <c r="H3" s="112">
        <v>20</v>
      </c>
      <c r="I3" s="112">
        <v>200</v>
      </c>
      <c r="J3" s="112">
        <v>10</v>
      </c>
      <c r="K3" s="112">
        <v>50</v>
      </c>
      <c r="L3" s="110" t="s">
        <v>1035</v>
      </c>
      <c r="M3" s="114"/>
      <c r="N3" s="114" t="s">
        <v>17</v>
      </c>
      <c r="O3" s="1">
        <v>12383</v>
      </c>
      <c r="P3" s="1"/>
      <c r="Q3" s="1">
        <v>428</v>
      </c>
      <c r="R3" s="1">
        <v>1128</v>
      </c>
      <c r="S3" s="1">
        <v>99.7</v>
      </c>
      <c r="U3">
        <f t="shared" ref="U3:U19" si="1">$V$1/Q3*R3</f>
        <v>896.07476635514013</v>
      </c>
      <c r="V3">
        <f>AVERAGE(U3:U5)</f>
        <v>891.40604383526818</v>
      </c>
      <c r="X3" s="1" t="s">
        <v>1095</v>
      </c>
      <c r="Y3">
        <f>V3</f>
        <v>891.40604383526818</v>
      </c>
    </row>
    <row r="4" spans="1:25" ht="15.75" customHeight="1">
      <c r="A4" s="114" t="s">
        <v>18</v>
      </c>
      <c r="B4" s="167" t="s">
        <v>1035</v>
      </c>
      <c r="C4" s="111">
        <v>4</v>
      </c>
      <c r="D4" s="127">
        <f t="shared" si="0"/>
        <v>4.2</v>
      </c>
      <c r="E4" s="114" t="s">
        <v>692</v>
      </c>
      <c r="F4" s="112">
        <v>4</v>
      </c>
      <c r="G4" s="111">
        <v>1</v>
      </c>
      <c r="H4" s="112">
        <v>20</v>
      </c>
      <c r="I4" s="112">
        <v>200</v>
      </c>
      <c r="J4" s="112">
        <v>10</v>
      </c>
      <c r="K4" s="112">
        <v>50</v>
      </c>
      <c r="L4" s="110" t="s">
        <v>1035</v>
      </c>
      <c r="M4" s="114"/>
      <c r="N4" s="114" t="s">
        <v>18</v>
      </c>
      <c r="O4" s="1">
        <v>12512</v>
      </c>
      <c r="P4" s="1"/>
      <c r="Q4" s="1">
        <v>429</v>
      </c>
      <c r="R4" s="1">
        <v>1133</v>
      </c>
      <c r="S4" s="1">
        <v>102</v>
      </c>
      <c r="U4">
        <f t="shared" si="1"/>
        <v>897.94871794871801</v>
      </c>
      <c r="X4" s="1" t="s">
        <v>1096</v>
      </c>
      <c r="Y4">
        <f>V6</f>
        <v>396.11061539156253</v>
      </c>
    </row>
    <row r="5" spans="1:25" ht="15.75" customHeight="1">
      <c r="A5" s="114" t="s">
        <v>19</v>
      </c>
      <c r="B5" s="167" t="s">
        <v>1035</v>
      </c>
      <c r="C5" s="111">
        <v>4</v>
      </c>
      <c r="D5" s="127">
        <f t="shared" si="0"/>
        <v>4.2</v>
      </c>
      <c r="E5" s="114" t="s">
        <v>692</v>
      </c>
      <c r="F5" s="112">
        <v>4</v>
      </c>
      <c r="G5" s="111">
        <v>1</v>
      </c>
      <c r="H5" s="112">
        <v>20</v>
      </c>
      <c r="I5" s="112">
        <v>200</v>
      </c>
      <c r="J5" s="112">
        <v>10</v>
      </c>
      <c r="K5" s="112">
        <v>50</v>
      </c>
      <c r="L5" s="110" t="s">
        <v>1035</v>
      </c>
      <c r="M5" s="114"/>
      <c r="N5" s="114" t="s">
        <v>19</v>
      </c>
      <c r="O5" s="1">
        <v>11560</v>
      </c>
      <c r="Q5" s="1">
        <v>411</v>
      </c>
      <c r="R5" s="1">
        <v>1064</v>
      </c>
      <c r="S5" s="1">
        <v>76.3</v>
      </c>
      <c r="U5">
        <f t="shared" si="1"/>
        <v>880.19464720194651</v>
      </c>
      <c r="X5" s="1" t="s">
        <v>1097</v>
      </c>
      <c r="Y5">
        <f>V9</f>
        <v>266.76599750090423</v>
      </c>
    </row>
    <row r="6" spans="1:25" ht="15.75" customHeight="1">
      <c r="A6" s="114" t="s">
        <v>20</v>
      </c>
      <c r="B6" s="167" t="s">
        <v>591</v>
      </c>
      <c r="C6" s="112">
        <v>4</v>
      </c>
      <c r="D6" s="127">
        <f t="shared" si="0"/>
        <v>4.2</v>
      </c>
      <c r="E6" s="114" t="s">
        <v>692</v>
      </c>
      <c r="F6" s="112">
        <v>4</v>
      </c>
      <c r="G6" s="112">
        <v>1</v>
      </c>
      <c r="H6" s="112">
        <v>20</v>
      </c>
      <c r="I6" s="112">
        <v>200</v>
      </c>
      <c r="J6" s="112">
        <v>10</v>
      </c>
      <c r="K6" s="112">
        <v>50</v>
      </c>
      <c r="L6" s="110" t="s">
        <v>1035</v>
      </c>
      <c r="M6" s="114"/>
      <c r="N6" s="114" t="s">
        <v>20</v>
      </c>
      <c r="O6" s="1">
        <v>13886</v>
      </c>
      <c r="Q6" s="1">
        <v>483</v>
      </c>
      <c r="R6" s="1">
        <v>530</v>
      </c>
      <c r="S6" s="1">
        <v>248</v>
      </c>
      <c r="U6">
        <f t="shared" si="1"/>
        <v>373.08488612836442</v>
      </c>
      <c r="V6">
        <f>AVERAGE(U6:U8)</f>
        <v>396.11061539156253</v>
      </c>
      <c r="X6" s="1" t="s">
        <v>1098</v>
      </c>
      <c r="Y6">
        <f>V12</f>
        <v>342.4200667554307</v>
      </c>
    </row>
    <row r="7" spans="1:25" ht="15.75" customHeight="1">
      <c r="A7" s="114" t="s">
        <v>21</v>
      </c>
      <c r="B7" s="167" t="s">
        <v>591</v>
      </c>
      <c r="C7" s="112">
        <v>4</v>
      </c>
      <c r="D7" s="127">
        <f t="shared" si="0"/>
        <v>4.2</v>
      </c>
      <c r="E7" s="114" t="s">
        <v>692</v>
      </c>
      <c r="F7" s="112">
        <v>4</v>
      </c>
      <c r="G7" s="112">
        <v>1</v>
      </c>
      <c r="H7" s="112">
        <v>20</v>
      </c>
      <c r="I7" s="112">
        <v>200</v>
      </c>
      <c r="J7" s="112">
        <v>10</v>
      </c>
      <c r="K7" s="112">
        <v>50</v>
      </c>
      <c r="L7" s="110" t="s">
        <v>1035</v>
      </c>
      <c r="M7" s="114"/>
      <c r="N7" s="114" t="s">
        <v>21</v>
      </c>
      <c r="O7" s="1">
        <v>13950</v>
      </c>
      <c r="P7" s="1"/>
      <c r="Q7" s="1">
        <v>440</v>
      </c>
      <c r="R7" s="1">
        <v>587</v>
      </c>
      <c r="S7" s="1">
        <v>257</v>
      </c>
      <c r="U7">
        <f t="shared" si="1"/>
        <v>453.59090909090907</v>
      </c>
    </row>
    <row r="8" spans="1:25" ht="15.75" customHeight="1">
      <c r="A8" s="114" t="s">
        <v>22</v>
      </c>
      <c r="B8" s="167" t="s">
        <v>591</v>
      </c>
      <c r="C8" s="112">
        <v>4</v>
      </c>
      <c r="D8" s="127">
        <f t="shared" si="0"/>
        <v>4.2</v>
      </c>
      <c r="E8" s="114" t="s">
        <v>692</v>
      </c>
      <c r="F8" s="112">
        <v>4</v>
      </c>
      <c r="G8" s="112">
        <v>1</v>
      </c>
      <c r="H8" s="112">
        <v>20</v>
      </c>
      <c r="I8" s="112">
        <v>200</v>
      </c>
      <c r="J8" s="112">
        <v>10</v>
      </c>
      <c r="K8" s="112">
        <v>50</v>
      </c>
      <c r="L8" s="110" t="s">
        <v>1035</v>
      </c>
      <c r="M8" s="114"/>
      <c r="N8" s="114" t="s">
        <v>22</v>
      </c>
      <c r="O8" s="1">
        <v>13795</v>
      </c>
      <c r="P8" s="1"/>
      <c r="Q8" s="1">
        <v>471</v>
      </c>
      <c r="R8" s="1">
        <v>501</v>
      </c>
      <c r="S8" s="1">
        <v>283</v>
      </c>
      <c r="U8">
        <f t="shared" si="1"/>
        <v>361.656050955414</v>
      </c>
    </row>
    <row r="9" spans="1:25" ht="15.75" customHeight="1">
      <c r="A9" s="110" t="s">
        <v>23</v>
      </c>
      <c r="B9" s="167" t="s">
        <v>591</v>
      </c>
      <c r="C9" s="112">
        <v>4</v>
      </c>
      <c r="D9" s="127">
        <f t="shared" si="0"/>
        <v>4.2</v>
      </c>
      <c r="E9" s="114" t="s">
        <v>692</v>
      </c>
      <c r="F9" s="112">
        <v>4</v>
      </c>
      <c r="G9" s="112">
        <v>1</v>
      </c>
      <c r="H9" s="112">
        <v>20</v>
      </c>
      <c r="I9" s="112">
        <v>200</v>
      </c>
      <c r="J9" s="112">
        <v>10</v>
      </c>
      <c r="K9" s="112">
        <v>50</v>
      </c>
      <c r="L9" s="110" t="s">
        <v>1099</v>
      </c>
      <c r="M9" s="110"/>
      <c r="N9" s="110" t="s">
        <v>23</v>
      </c>
      <c r="O9" s="1">
        <v>13509</v>
      </c>
      <c r="Q9" s="1">
        <v>527</v>
      </c>
      <c r="R9" s="1">
        <v>397</v>
      </c>
      <c r="S9" s="1">
        <v>273</v>
      </c>
      <c r="U9">
        <f t="shared" si="1"/>
        <v>256.12903225806451</v>
      </c>
      <c r="V9">
        <f>AVERAGE(U9:U11)</f>
        <v>266.76599750090423</v>
      </c>
    </row>
    <row r="10" spans="1:25" ht="15.75" customHeight="1">
      <c r="A10" s="110" t="s">
        <v>24</v>
      </c>
      <c r="B10" s="167" t="s">
        <v>591</v>
      </c>
      <c r="C10" s="112">
        <v>4</v>
      </c>
      <c r="D10" s="127">
        <f t="shared" si="0"/>
        <v>4.2</v>
      </c>
      <c r="E10" s="114" t="s">
        <v>692</v>
      </c>
      <c r="F10" s="112">
        <v>4</v>
      </c>
      <c r="G10" s="112">
        <v>1</v>
      </c>
      <c r="H10" s="112">
        <v>20</v>
      </c>
      <c r="I10" s="112">
        <v>200</v>
      </c>
      <c r="J10" s="112">
        <v>10</v>
      </c>
      <c r="K10" s="112">
        <v>50</v>
      </c>
      <c r="L10" s="110" t="s">
        <v>1099</v>
      </c>
      <c r="M10" s="110"/>
      <c r="N10" s="110" t="s">
        <v>24</v>
      </c>
      <c r="O10" s="1">
        <v>12003</v>
      </c>
      <c r="Q10" s="1">
        <v>720</v>
      </c>
      <c r="R10" s="1">
        <v>363</v>
      </c>
      <c r="S10" s="1">
        <v>267</v>
      </c>
      <c r="U10">
        <f t="shared" si="1"/>
        <v>171.41666666666666</v>
      </c>
    </row>
    <row r="11" spans="1:25" ht="15.75" customHeight="1">
      <c r="A11" s="110" t="s">
        <v>25</v>
      </c>
      <c r="B11" s="167" t="s">
        <v>591</v>
      </c>
      <c r="C11" s="112">
        <v>4</v>
      </c>
      <c r="D11" s="127">
        <f t="shared" si="0"/>
        <v>4.2</v>
      </c>
      <c r="E11" s="114" t="s">
        <v>692</v>
      </c>
      <c r="F11" s="112">
        <v>4</v>
      </c>
      <c r="G11" s="112">
        <v>1</v>
      </c>
      <c r="H11" s="112">
        <v>20</v>
      </c>
      <c r="I11" s="112">
        <v>200</v>
      </c>
      <c r="J11" s="112">
        <v>10</v>
      </c>
      <c r="K11" s="112">
        <v>50</v>
      </c>
      <c r="L11" s="110" t="s">
        <v>1099</v>
      </c>
      <c r="M11" s="110"/>
      <c r="N11" s="110" t="s">
        <v>25</v>
      </c>
      <c r="O11" s="1">
        <v>13538</v>
      </c>
      <c r="Q11" s="1">
        <v>436</v>
      </c>
      <c r="R11" s="1">
        <v>478</v>
      </c>
      <c r="S11" s="1">
        <v>277</v>
      </c>
      <c r="U11">
        <f t="shared" si="1"/>
        <v>372.75229357798162</v>
      </c>
    </row>
    <row r="12" spans="1:25" ht="15.75" customHeight="1">
      <c r="A12" s="110" t="s">
        <v>26</v>
      </c>
      <c r="B12" s="167" t="s">
        <v>591</v>
      </c>
      <c r="C12" s="112">
        <v>4</v>
      </c>
      <c r="D12" s="127">
        <f t="shared" si="0"/>
        <v>4.2</v>
      </c>
      <c r="E12" s="114" t="s">
        <v>692</v>
      </c>
      <c r="F12" s="112">
        <v>4</v>
      </c>
      <c r="G12" s="112">
        <v>1</v>
      </c>
      <c r="H12" s="112">
        <v>20</v>
      </c>
      <c r="I12" s="112">
        <v>200</v>
      </c>
      <c r="J12" s="112">
        <v>10</v>
      </c>
      <c r="K12" s="112">
        <v>50</v>
      </c>
      <c r="L12" s="110" t="s">
        <v>1100</v>
      </c>
      <c r="M12" s="110"/>
      <c r="N12" s="110" t="s">
        <v>26</v>
      </c>
      <c r="O12" s="1">
        <v>13650</v>
      </c>
      <c r="P12" s="1"/>
      <c r="Q12" s="1">
        <v>446</v>
      </c>
      <c r="R12" s="1">
        <v>446</v>
      </c>
      <c r="S12" s="1">
        <v>290</v>
      </c>
      <c r="U12">
        <f t="shared" si="1"/>
        <v>340</v>
      </c>
      <c r="V12">
        <f>AVERAGE(U12:U14)</f>
        <v>342.4200667554307</v>
      </c>
    </row>
    <row r="13" spans="1:25" ht="15.75" customHeight="1">
      <c r="A13" s="110" t="s">
        <v>27</v>
      </c>
      <c r="B13" s="167" t="s">
        <v>591</v>
      </c>
      <c r="C13" s="112">
        <v>4</v>
      </c>
      <c r="D13" s="127">
        <f t="shared" si="0"/>
        <v>4.2</v>
      </c>
      <c r="E13" s="114" t="s">
        <v>692</v>
      </c>
      <c r="F13" s="112">
        <v>4</v>
      </c>
      <c r="G13" s="112">
        <v>1</v>
      </c>
      <c r="H13" s="112">
        <v>20</v>
      </c>
      <c r="I13" s="112">
        <v>200</v>
      </c>
      <c r="J13" s="112">
        <v>10</v>
      </c>
      <c r="K13" s="112">
        <v>50</v>
      </c>
      <c r="L13" s="110" t="s">
        <v>1100</v>
      </c>
      <c r="M13" s="110"/>
      <c r="N13" s="110" t="s">
        <v>27</v>
      </c>
      <c r="O13" s="1">
        <v>13429</v>
      </c>
      <c r="P13" s="1"/>
      <c r="Q13" s="1">
        <v>503</v>
      </c>
      <c r="R13" s="1">
        <v>328</v>
      </c>
      <c r="S13" s="1">
        <v>320</v>
      </c>
      <c r="U13">
        <f t="shared" si="1"/>
        <v>221.70974155069581</v>
      </c>
    </row>
    <row r="14" spans="1:25" ht="15.75" customHeight="1">
      <c r="A14" s="110" t="s">
        <v>28</v>
      </c>
      <c r="B14" s="167" t="s">
        <v>591</v>
      </c>
      <c r="C14" s="112">
        <v>4</v>
      </c>
      <c r="D14" s="127">
        <f t="shared" si="0"/>
        <v>4.2</v>
      </c>
      <c r="E14" s="114" t="s">
        <v>692</v>
      </c>
      <c r="F14" s="112">
        <v>4</v>
      </c>
      <c r="G14" s="112">
        <v>1</v>
      </c>
      <c r="H14" s="112">
        <v>20</v>
      </c>
      <c r="I14" s="112">
        <v>200</v>
      </c>
      <c r="J14" s="112">
        <v>10</v>
      </c>
      <c r="K14" s="112">
        <v>50</v>
      </c>
      <c r="L14" s="110" t="s">
        <v>1100</v>
      </c>
      <c r="M14" s="110"/>
      <c r="N14" s="110" t="s">
        <v>28</v>
      </c>
      <c r="O14" s="1">
        <v>12811</v>
      </c>
      <c r="P14" s="1"/>
      <c r="Q14" s="1">
        <v>436</v>
      </c>
      <c r="R14" s="1">
        <v>597</v>
      </c>
      <c r="S14" s="1">
        <v>200</v>
      </c>
      <c r="U14">
        <f t="shared" si="1"/>
        <v>465.55045871559633</v>
      </c>
    </row>
    <row r="15" spans="1:25" ht="15.75" customHeight="1">
      <c r="A15" s="1" t="s">
        <v>29</v>
      </c>
      <c r="B15" s="167" t="s">
        <v>591</v>
      </c>
      <c r="C15" s="112">
        <v>4</v>
      </c>
      <c r="D15" s="127">
        <f t="shared" si="0"/>
        <v>4.4000000000000004</v>
      </c>
      <c r="E15" s="114" t="s">
        <v>692</v>
      </c>
      <c r="F15" s="112">
        <v>4</v>
      </c>
      <c r="G15" s="112">
        <v>1</v>
      </c>
      <c r="H15" s="112">
        <v>40</v>
      </c>
      <c r="I15" s="112">
        <v>400</v>
      </c>
      <c r="J15" s="112">
        <v>20</v>
      </c>
      <c r="K15" s="112">
        <v>50</v>
      </c>
      <c r="L15" s="110" t="s">
        <v>1100</v>
      </c>
      <c r="N15" s="1" t="s">
        <v>29</v>
      </c>
      <c r="O15" s="1">
        <v>13568</v>
      </c>
      <c r="P15" s="1"/>
      <c r="Q15" s="1">
        <v>603</v>
      </c>
      <c r="R15" s="1">
        <v>200</v>
      </c>
      <c r="S15" s="1">
        <v>373</v>
      </c>
      <c r="T15" s="1"/>
      <c r="U15">
        <f t="shared" si="1"/>
        <v>112.76948590381426</v>
      </c>
      <c r="V15">
        <f>AVERAGE(U15:U17)</f>
        <v>395.14235501573449</v>
      </c>
    </row>
    <row r="16" spans="1:25" ht="15.75" customHeight="1">
      <c r="A16" s="1" t="s">
        <v>30</v>
      </c>
      <c r="B16" s="167" t="s">
        <v>591</v>
      </c>
      <c r="C16" s="112">
        <v>4</v>
      </c>
      <c r="D16" s="127">
        <f t="shared" si="0"/>
        <v>4.4000000000000004</v>
      </c>
      <c r="E16" s="114" t="s">
        <v>692</v>
      </c>
      <c r="F16" s="112">
        <v>4</v>
      </c>
      <c r="G16" s="112">
        <v>1</v>
      </c>
      <c r="H16" s="112">
        <v>40</v>
      </c>
      <c r="I16" s="112">
        <v>400</v>
      </c>
      <c r="J16" s="112">
        <v>20</v>
      </c>
      <c r="K16" s="112">
        <v>50</v>
      </c>
      <c r="L16" s="110" t="s">
        <v>1100</v>
      </c>
      <c r="N16" s="1" t="s">
        <v>30</v>
      </c>
      <c r="O16" s="1">
        <v>14260</v>
      </c>
      <c r="P16" s="1"/>
      <c r="Q16" s="1">
        <v>537</v>
      </c>
      <c r="R16" s="1">
        <v>371</v>
      </c>
      <c r="S16" s="1">
        <v>328</v>
      </c>
      <c r="T16" s="1"/>
      <c r="U16">
        <f t="shared" si="1"/>
        <v>234.89757914338921</v>
      </c>
    </row>
    <row r="17" spans="1:22" ht="15.75" customHeight="1">
      <c r="A17" s="1" t="s">
        <v>31</v>
      </c>
      <c r="B17" s="167" t="s">
        <v>591</v>
      </c>
      <c r="C17" s="112">
        <v>4</v>
      </c>
      <c r="D17" s="127">
        <f t="shared" si="0"/>
        <v>4.0999999999999996</v>
      </c>
      <c r="E17" s="114" t="s">
        <v>692</v>
      </c>
      <c r="F17" s="112">
        <v>4</v>
      </c>
      <c r="G17" s="112">
        <v>1</v>
      </c>
      <c r="H17" s="112">
        <v>20</v>
      </c>
      <c r="I17" s="112">
        <v>100</v>
      </c>
      <c r="J17" s="112">
        <v>5</v>
      </c>
      <c r="K17" s="112">
        <v>50</v>
      </c>
      <c r="L17" s="110" t="s">
        <v>1100</v>
      </c>
      <c r="N17" s="1" t="s">
        <v>31</v>
      </c>
      <c r="O17" s="1">
        <v>12075</v>
      </c>
      <c r="Q17" s="1">
        <v>375</v>
      </c>
      <c r="R17" s="1">
        <v>924</v>
      </c>
      <c r="S17" s="1">
        <v>119</v>
      </c>
      <c r="T17" s="1"/>
      <c r="U17">
        <f t="shared" si="1"/>
        <v>837.76</v>
      </c>
      <c r="V17">
        <f>AVERAGE(U17:U19)</f>
        <v>767.14439448181417</v>
      </c>
    </row>
    <row r="18" spans="1:22" ht="15.75" customHeight="1">
      <c r="A18" s="1" t="s">
        <v>32</v>
      </c>
      <c r="B18" s="167" t="s">
        <v>591</v>
      </c>
      <c r="C18" s="112">
        <v>4</v>
      </c>
      <c r="D18" s="127">
        <f t="shared" si="0"/>
        <v>4.0999999999999996</v>
      </c>
      <c r="E18" s="114" t="s">
        <v>692</v>
      </c>
      <c r="F18" s="112">
        <v>4</v>
      </c>
      <c r="G18" s="112">
        <v>1</v>
      </c>
      <c r="H18" s="112">
        <v>20</v>
      </c>
      <c r="I18" s="112">
        <v>100</v>
      </c>
      <c r="J18" s="112">
        <v>5</v>
      </c>
      <c r="K18" s="112">
        <v>50</v>
      </c>
      <c r="L18" s="110" t="s">
        <v>1100</v>
      </c>
      <c r="N18" s="1" t="s">
        <v>32</v>
      </c>
      <c r="O18" s="1">
        <v>12628</v>
      </c>
      <c r="P18" s="1"/>
      <c r="Q18" s="1">
        <v>389</v>
      </c>
      <c r="R18" s="1">
        <v>849</v>
      </c>
      <c r="S18" s="1">
        <v>156</v>
      </c>
      <c r="T18" s="1"/>
      <c r="U18">
        <f t="shared" si="1"/>
        <v>742.05655526992291</v>
      </c>
    </row>
    <row r="19" spans="1:22" ht="15.75" customHeight="1">
      <c r="A19" s="1" t="s">
        <v>34</v>
      </c>
      <c r="B19" s="167" t="s">
        <v>591</v>
      </c>
      <c r="C19" s="112">
        <v>4</v>
      </c>
      <c r="D19" s="127">
        <f t="shared" si="0"/>
        <v>4.0999999999999996</v>
      </c>
      <c r="E19" s="114" t="s">
        <v>692</v>
      </c>
      <c r="F19" s="112">
        <v>4</v>
      </c>
      <c r="G19" s="112">
        <v>1</v>
      </c>
      <c r="H19" s="112">
        <v>20</v>
      </c>
      <c r="I19" s="112">
        <v>100</v>
      </c>
      <c r="J19" s="112">
        <v>5</v>
      </c>
      <c r="K19" s="112">
        <v>50</v>
      </c>
      <c r="L19" s="110" t="s">
        <v>1100</v>
      </c>
      <c r="N19" s="1" t="s">
        <v>34</v>
      </c>
      <c r="O19" s="1">
        <v>11698</v>
      </c>
      <c r="P19" s="1"/>
      <c r="Q19" s="1">
        <v>433</v>
      </c>
      <c r="R19" s="1">
        <v>919</v>
      </c>
      <c r="S19" s="1">
        <v>113</v>
      </c>
      <c r="T19" s="1"/>
      <c r="U19">
        <f t="shared" si="1"/>
        <v>721.61662817551962</v>
      </c>
    </row>
    <row r="20" spans="1:22" ht="15.75" customHeight="1">
      <c r="B20" s="114" t="s">
        <v>300</v>
      </c>
      <c r="C20" s="127">
        <f>SUM(C3:C14)</f>
        <v>48</v>
      </c>
      <c r="E20" s="1"/>
      <c r="F20" s="112"/>
      <c r="H20" s="1" t="s">
        <v>1039</v>
      </c>
      <c r="I20">
        <f>SUM(I3:I19)</f>
        <v>3500</v>
      </c>
      <c r="O20" s="1"/>
      <c r="P20" s="1"/>
      <c r="Q20" s="1"/>
      <c r="S20" s="1"/>
      <c r="T20" s="1"/>
    </row>
    <row r="21" spans="1:22" ht="15.75" customHeight="1">
      <c r="A21" s="125" t="s">
        <v>1040</v>
      </c>
      <c r="B21" s="1" t="s">
        <v>1041</v>
      </c>
      <c r="I21" s="125" t="s">
        <v>968</v>
      </c>
      <c r="J21" s="114"/>
      <c r="K21" s="114"/>
      <c r="P21" s="1"/>
      <c r="Q21" s="1"/>
      <c r="T21" s="1"/>
    </row>
    <row r="22" spans="1:22" ht="15.75" customHeight="1">
      <c r="A22" s="1" t="s">
        <v>1101</v>
      </c>
      <c r="I22" s="114" t="s">
        <v>970</v>
      </c>
      <c r="J22" s="114" t="s">
        <v>47</v>
      </c>
      <c r="K22" s="114" t="s">
        <v>300</v>
      </c>
      <c r="P22" s="1"/>
      <c r="Q22" s="1"/>
      <c r="T22" s="1"/>
    </row>
    <row r="23" spans="1:22" ht="15.75" customHeight="1">
      <c r="A23" s="1" t="s">
        <v>1102</v>
      </c>
      <c r="H23" s="1"/>
      <c r="I23" s="128" t="s">
        <v>1044</v>
      </c>
      <c r="J23" s="126">
        <v>0.3</v>
      </c>
      <c r="P23" s="1"/>
      <c r="Q23" s="1"/>
      <c r="T23" s="1"/>
    </row>
    <row r="24" spans="1:22" ht="15.75" customHeight="1">
      <c r="A24" s="1" t="s">
        <v>1103</v>
      </c>
      <c r="I24" s="112">
        <v>1120</v>
      </c>
      <c r="J24" s="127">
        <f>I24/J23-I24</f>
        <v>2613.3333333333335</v>
      </c>
      <c r="K24" s="127">
        <f>SUM(I24:J24)</f>
        <v>3733.3333333333335</v>
      </c>
      <c r="P24" s="1"/>
      <c r="Q24" s="1"/>
      <c r="S24" s="1"/>
      <c r="T24" s="1"/>
    </row>
    <row r="25" spans="1:22" ht="15.75" customHeight="1">
      <c r="A25" s="1" t="s">
        <v>1104</v>
      </c>
      <c r="H25" s="1"/>
      <c r="I25" s="168"/>
      <c r="J25" s="112"/>
      <c r="K25" s="127"/>
      <c r="P25" s="1"/>
      <c r="Q25" s="1"/>
      <c r="S25" s="1"/>
      <c r="T25" s="1"/>
    </row>
    <row r="26" spans="1:22" ht="15.75" customHeight="1">
      <c r="A26" s="1" t="s">
        <v>1105</v>
      </c>
      <c r="I26" s="112"/>
      <c r="J26" s="127"/>
      <c r="K26" s="127"/>
      <c r="L26" s="1"/>
      <c r="M26" s="1"/>
      <c r="N26" s="1" t="s">
        <v>816</v>
      </c>
      <c r="O26" s="1" t="s">
        <v>817</v>
      </c>
      <c r="Q26" s="1" t="s">
        <v>818</v>
      </c>
      <c r="R26" s="1" t="s">
        <v>819</v>
      </c>
      <c r="S26" s="1"/>
      <c r="T26" s="1"/>
    </row>
    <row r="27" spans="1:22" ht="15.75" customHeight="1">
      <c r="A27" s="1" t="s">
        <v>1106</v>
      </c>
      <c r="H27" s="1"/>
      <c r="I27" s="5"/>
      <c r="J27" s="1"/>
      <c r="L27" s="1"/>
      <c r="M27" s="1"/>
      <c r="N27" s="1">
        <v>1</v>
      </c>
      <c r="O27" s="1">
        <v>1</v>
      </c>
      <c r="P27" s="1" t="s">
        <v>820</v>
      </c>
      <c r="Q27" s="1">
        <v>47.6</v>
      </c>
      <c r="R27" s="1"/>
      <c r="S27" s="1"/>
      <c r="T27" s="1"/>
    </row>
    <row r="28" spans="1:22" ht="15.75" customHeight="1">
      <c r="A28" s="1" t="s">
        <v>1107</v>
      </c>
      <c r="I28" s="112"/>
      <c r="J28" s="127"/>
      <c r="K28" s="127"/>
      <c r="N28">
        <f t="shared" ref="N28:N56" si="2">N27+1</f>
        <v>2</v>
      </c>
      <c r="O28" s="1">
        <v>2</v>
      </c>
      <c r="P28" s="1" t="s">
        <v>821</v>
      </c>
      <c r="Q28" s="1">
        <v>407.9</v>
      </c>
      <c r="R28" s="1">
        <v>15</v>
      </c>
      <c r="S28" s="1"/>
      <c r="T28" s="1"/>
    </row>
    <row r="29" spans="1:22" ht="15.75" customHeight="1">
      <c r="A29" s="1"/>
      <c r="H29" s="1"/>
      <c r="I29" s="5"/>
      <c r="J29" s="1"/>
      <c r="N29">
        <f t="shared" si="2"/>
        <v>3</v>
      </c>
      <c r="O29" s="1">
        <v>3</v>
      </c>
      <c r="P29" s="1" t="s">
        <v>822</v>
      </c>
      <c r="Q29" s="1">
        <v>115.5</v>
      </c>
      <c r="R29" s="1">
        <v>130.69999999999999</v>
      </c>
      <c r="S29" s="1"/>
      <c r="T29" s="1"/>
    </row>
    <row r="30" spans="1:22" ht="15.75" customHeight="1">
      <c r="I30" s="112"/>
      <c r="J30" s="127"/>
      <c r="K30" s="127"/>
      <c r="N30">
        <f t="shared" si="2"/>
        <v>4</v>
      </c>
      <c r="O30" s="1">
        <v>4</v>
      </c>
      <c r="P30" s="1" t="s">
        <v>823</v>
      </c>
      <c r="Q30" s="1">
        <v>34.299999999999997</v>
      </c>
      <c r="R30" s="1">
        <v>237.7</v>
      </c>
      <c r="S30" s="1"/>
      <c r="T30" s="1"/>
    </row>
    <row r="31" spans="1:22" ht="15.75" customHeight="1">
      <c r="N31">
        <f t="shared" si="2"/>
        <v>5</v>
      </c>
      <c r="O31" s="1">
        <v>5</v>
      </c>
      <c r="P31" s="1" t="s">
        <v>692</v>
      </c>
      <c r="Q31" s="1">
        <v>19.100000000000001</v>
      </c>
      <c r="S31" s="1"/>
      <c r="T31" s="1"/>
    </row>
    <row r="32" spans="1:22" ht="15.75" customHeight="1">
      <c r="N32">
        <f t="shared" si="2"/>
        <v>6</v>
      </c>
      <c r="O32" s="1">
        <v>1</v>
      </c>
      <c r="P32" s="1" t="s">
        <v>820</v>
      </c>
      <c r="Q32" s="1">
        <v>18.100000000000001</v>
      </c>
      <c r="S32" s="1"/>
      <c r="T32" s="1"/>
    </row>
    <row r="33" spans="14:23" ht="15.75" customHeight="1">
      <c r="N33">
        <f t="shared" si="2"/>
        <v>7</v>
      </c>
      <c r="O33" s="1">
        <v>6</v>
      </c>
      <c r="P33" s="125" t="s">
        <v>17</v>
      </c>
      <c r="Q33" s="1">
        <v>35.1</v>
      </c>
      <c r="R33" s="1">
        <v>113.7</v>
      </c>
      <c r="S33" s="1"/>
      <c r="T33" s="1"/>
    </row>
    <row r="34" spans="14:23" ht="15.75" customHeight="1">
      <c r="N34">
        <f t="shared" si="2"/>
        <v>8</v>
      </c>
      <c r="O34">
        <f t="shared" ref="O34:O50" si="3">O33+1</f>
        <v>7</v>
      </c>
      <c r="P34" s="125" t="s">
        <v>18</v>
      </c>
      <c r="Q34" s="1">
        <v>35.5</v>
      </c>
      <c r="R34" s="1">
        <v>116</v>
      </c>
      <c r="S34" s="1"/>
      <c r="T34" s="1" t="s">
        <v>1108</v>
      </c>
      <c r="U34">
        <f>AVERAGE(R33:R35)</f>
        <v>114.09999999999998</v>
      </c>
      <c r="V34">
        <f>STDEV(R33:R35)</f>
        <v>1.7349351572897496</v>
      </c>
    </row>
    <row r="35" spans="14:23" ht="15.75" customHeight="1">
      <c r="N35">
        <f t="shared" si="2"/>
        <v>9</v>
      </c>
      <c r="O35">
        <f t="shared" si="3"/>
        <v>8</v>
      </c>
      <c r="P35" s="125" t="s">
        <v>19</v>
      </c>
      <c r="Q35" s="1">
        <v>37.4</v>
      </c>
      <c r="R35" s="1">
        <v>112.6</v>
      </c>
      <c r="T35" s="1" t="s">
        <v>1109</v>
      </c>
      <c r="U35">
        <f>AVERAGE(R36:R38)</f>
        <v>119</v>
      </c>
      <c r="V35">
        <f>STDEV(R36:R38)</f>
        <v>21.704147069166293</v>
      </c>
      <c r="W35" s="1"/>
    </row>
    <row r="36" spans="14:23" ht="15.75" customHeight="1">
      <c r="N36">
        <f t="shared" si="2"/>
        <v>10</v>
      </c>
      <c r="O36">
        <f t="shared" si="3"/>
        <v>9</v>
      </c>
      <c r="P36" s="114" t="s">
        <v>20</v>
      </c>
      <c r="Q36" s="1">
        <v>31.4</v>
      </c>
      <c r="R36" s="1">
        <v>124.1</v>
      </c>
      <c r="S36" s="1"/>
      <c r="T36" s="1" t="s">
        <v>1097</v>
      </c>
      <c r="U36">
        <f>AVERAGE(R39:R41)</f>
        <v>160.96666666666667</v>
      </c>
      <c r="V36">
        <f>STDEV(R39:R41)</f>
        <v>14.712692932748007</v>
      </c>
    </row>
    <row r="37" spans="14:23" ht="15.75" customHeight="1">
      <c r="N37">
        <f t="shared" si="2"/>
        <v>11</v>
      </c>
      <c r="O37">
        <f t="shared" si="3"/>
        <v>10</v>
      </c>
      <c r="P37" s="114" t="s">
        <v>21</v>
      </c>
      <c r="Q37" s="1">
        <v>30.7</v>
      </c>
      <c r="R37" s="1">
        <v>95.2</v>
      </c>
      <c r="T37" s="1" t="s">
        <v>1098</v>
      </c>
      <c r="U37">
        <f>AVERAGE(R42:R44)</f>
        <v>159.4</v>
      </c>
      <c r="V37">
        <f>STDEV(R42:R44)</f>
        <v>26.400568175703921</v>
      </c>
    </row>
    <row r="38" spans="14:23" ht="15.75" customHeight="1">
      <c r="N38">
        <f t="shared" si="2"/>
        <v>12</v>
      </c>
      <c r="O38">
        <f t="shared" si="3"/>
        <v>11</v>
      </c>
      <c r="P38" s="114" t="s">
        <v>22</v>
      </c>
      <c r="Q38" s="1">
        <v>33.200000000000003</v>
      </c>
      <c r="R38" s="1">
        <v>137.69999999999999</v>
      </c>
      <c r="S38" s="1"/>
      <c r="T38" s="1"/>
    </row>
    <row r="39" spans="14:23" ht="12.75">
      <c r="N39">
        <f t="shared" si="2"/>
        <v>13</v>
      </c>
      <c r="O39">
        <f t="shared" si="3"/>
        <v>12</v>
      </c>
      <c r="P39" s="128" t="s">
        <v>23</v>
      </c>
      <c r="Q39" s="1">
        <v>36.1</v>
      </c>
      <c r="R39" s="1">
        <v>168.7</v>
      </c>
      <c r="T39" s="1"/>
    </row>
    <row r="40" spans="14:23" ht="12.75">
      <c r="N40">
        <f t="shared" si="2"/>
        <v>14</v>
      </c>
      <c r="O40">
        <f t="shared" si="3"/>
        <v>13</v>
      </c>
      <c r="P40" s="128" t="s">
        <v>24</v>
      </c>
      <c r="Q40" s="1">
        <v>35.4</v>
      </c>
      <c r="R40" s="1">
        <v>170.2</v>
      </c>
      <c r="T40" s="1"/>
    </row>
    <row r="41" spans="14:23" ht="12.75">
      <c r="N41">
        <f t="shared" si="2"/>
        <v>15</v>
      </c>
      <c r="O41">
        <f t="shared" si="3"/>
        <v>14</v>
      </c>
      <c r="P41" s="128" t="s">
        <v>25</v>
      </c>
      <c r="Q41" s="1">
        <v>35.5</v>
      </c>
      <c r="R41" s="1">
        <v>144</v>
      </c>
      <c r="T41" s="1"/>
    </row>
    <row r="42" spans="14:23" ht="12.75">
      <c r="N42">
        <f t="shared" si="2"/>
        <v>16</v>
      </c>
      <c r="O42">
        <f t="shared" si="3"/>
        <v>15</v>
      </c>
      <c r="P42" s="110" t="s">
        <v>26</v>
      </c>
      <c r="Q42" s="1">
        <v>36.9</v>
      </c>
      <c r="R42" s="1">
        <v>159.19999999999999</v>
      </c>
    </row>
    <row r="43" spans="14:23" ht="12.75">
      <c r="N43">
        <f t="shared" si="2"/>
        <v>17</v>
      </c>
      <c r="O43">
        <f t="shared" si="3"/>
        <v>16</v>
      </c>
      <c r="P43" s="110" t="s">
        <v>27</v>
      </c>
      <c r="Q43" s="1">
        <v>39.5</v>
      </c>
      <c r="R43" s="1">
        <v>185.9</v>
      </c>
    </row>
    <row r="44" spans="14:23" ht="12.75">
      <c r="N44">
        <f t="shared" si="2"/>
        <v>18</v>
      </c>
      <c r="O44">
        <f t="shared" si="3"/>
        <v>17</v>
      </c>
      <c r="P44" s="110" t="s">
        <v>28</v>
      </c>
      <c r="Q44" s="1">
        <v>37.9</v>
      </c>
      <c r="R44" s="1">
        <v>133.1</v>
      </c>
      <c r="T44" s="1"/>
    </row>
    <row r="45" spans="14:23" ht="12.75">
      <c r="N45">
        <f t="shared" si="2"/>
        <v>19</v>
      </c>
      <c r="O45">
        <f t="shared" si="3"/>
        <v>18</v>
      </c>
      <c r="P45" s="128" t="s">
        <v>29</v>
      </c>
      <c r="Q45" s="1">
        <v>45.5</v>
      </c>
      <c r="R45" s="1">
        <v>204.8</v>
      </c>
      <c r="T45" s="1"/>
    </row>
    <row r="46" spans="14:23" ht="12.75">
      <c r="N46">
        <f t="shared" si="2"/>
        <v>20</v>
      </c>
      <c r="O46">
        <f t="shared" si="3"/>
        <v>19</v>
      </c>
      <c r="P46" s="128" t="s">
        <v>30</v>
      </c>
      <c r="Q46" s="1">
        <v>48.3</v>
      </c>
      <c r="R46" s="1">
        <v>173</v>
      </c>
      <c r="S46" s="1"/>
    </row>
    <row r="47" spans="14:23" ht="12.75">
      <c r="N47">
        <f t="shared" si="2"/>
        <v>21</v>
      </c>
      <c r="O47">
        <f t="shared" si="3"/>
        <v>20</v>
      </c>
      <c r="P47" s="128" t="s">
        <v>31</v>
      </c>
      <c r="Q47" s="1">
        <v>35.4</v>
      </c>
      <c r="R47" s="1">
        <v>63.1</v>
      </c>
      <c r="T47" s="1"/>
    </row>
    <row r="48" spans="14:23" ht="12.75">
      <c r="N48">
        <f t="shared" si="2"/>
        <v>22</v>
      </c>
      <c r="O48">
        <f t="shared" si="3"/>
        <v>21</v>
      </c>
      <c r="P48" s="110" t="s">
        <v>32</v>
      </c>
      <c r="Q48" s="1">
        <v>42.1</v>
      </c>
      <c r="R48" s="1">
        <v>101.8</v>
      </c>
    </row>
    <row r="49" spans="14:20" ht="12.75">
      <c r="N49">
        <f t="shared" si="2"/>
        <v>23</v>
      </c>
      <c r="O49">
        <f t="shared" si="3"/>
        <v>22</v>
      </c>
      <c r="P49" s="110" t="s">
        <v>34</v>
      </c>
      <c r="Q49" s="1">
        <v>38.299999999999997</v>
      </c>
      <c r="R49" s="1">
        <v>69.7</v>
      </c>
    </row>
    <row r="50" spans="14:20" ht="12.75">
      <c r="N50">
        <f t="shared" si="2"/>
        <v>24</v>
      </c>
      <c r="O50">
        <f t="shared" si="3"/>
        <v>23</v>
      </c>
      <c r="P50" s="110" t="s">
        <v>1048</v>
      </c>
      <c r="Q50" s="1">
        <v>36.6</v>
      </c>
      <c r="R50" s="1">
        <v>7.5</v>
      </c>
    </row>
    <row r="51" spans="14:20" ht="12.75">
      <c r="N51">
        <f t="shared" si="2"/>
        <v>25</v>
      </c>
      <c r="O51" s="1">
        <v>1</v>
      </c>
      <c r="P51" s="1" t="s">
        <v>820</v>
      </c>
      <c r="Q51" s="1">
        <v>33</v>
      </c>
      <c r="R51" s="1"/>
    </row>
    <row r="52" spans="14:20" ht="12.75">
      <c r="N52">
        <f t="shared" si="2"/>
        <v>26</v>
      </c>
      <c r="O52" s="1">
        <v>2</v>
      </c>
      <c r="P52" s="1" t="s">
        <v>821</v>
      </c>
      <c r="Q52" s="1">
        <v>414.1</v>
      </c>
      <c r="R52" s="1">
        <v>14.8</v>
      </c>
      <c r="T52" s="1"/>
    </row>
    <row r="53" spans="14:20" ht="12.75">
      <c r="N53">
        <f t="shared" si="2"/>
        <v>27</v>
      </c>
      <c r="O53" s="1">
        <v>3</v>
      </c>
      <c r="P53" s="1" t="s">
        <v>822</v>
      </c>
      <c r="Q53" s="1">
        <v>127.4</v>
      </c>
      <c r="R53" s="1">
        <v>129.69999999999999</v>
      </c>
    </row>
    <row r="54" spans="14:20" ht="12.75">
      <c r="N54">
        <f t="shared" si="2"/>
        <v>28</v>
      </c>
      <c r="O54" s="1">
        <v>4</v>
      </c>
      <c r="P54" s="1" t="s">
        <v>823</v>
      </c>
      <c r="Q54" s="1">
        <v>45.8</v>
      </c>
      <c r="R54" s="1">
        <v>234.5</v>
      </c>
      <c r="T54" s="1"/>
    </row>
    <row r="55" spans="14:20" ht="12.75">
      <c r="N55">
        <f t="shared" si="2"/>
        <v>29</v>
      </c>
      <c r="O55" s="1">
        <v>5</v>
      </c>
      <c r="P55" s="1" t="s">
        <v>692</v>
      </c>
      <c r="Q55" s="1">
        <v>28.2</v>
      </c>
      <c r="R55" s="1"/>
      <c r="T55" s="1"/>
    </row>
    <row r="56" spans="14:20" ht="12.75">
      <c r="N56">
        <f t="shared" si="2"/>
        <v>30</v>
      </c>
      <c r="O56" s="1">
        <v>1</v>
      </c>
      <c r="P56" s="1" t="s">
        <v>820</v>
      </c>
      <c r="Q56" s="1">
        <v>29</v>
      </c>
      <c r="R56" s="1"/>
    </row>
    <row r="57" spans="14:20" ht="12.75">
      <c r="O57" s="1"/>
      <c r="P57" s="1"/>
      <c r="Q57" s="1"/>
    </row>
    <row r="58" spans="14:20" ht="12.75">
      <c r="O58" s="1"/>
      <c r="P58" s="1"/>
      <c r="Q58" s="1"/>
      <c r="R58" s="1"/>
      <c r="T58" s="1"/>
    </row>
    <row r="59" spans="14:20" ht="12.75">
      <c r="O59" s="1"/>
      <c r="P59" s="1"/>
      <c r="Q59" s="1"/>
      <c r="R59" s="1"/>
      <c r="T59" s="1"/>
    </row>
    <row r="60" spans="14:20" ht="12.75">
      <c r="O60" s="1"/>
      <c r="P60" s="1"/>
      <c r="Q60" s="1"/>
      <c r="R60" s="1"/>
      <c r="T60" s="1"/>
    </row>
    <row r="61" spans="14:20" ht="12.75">
      <c r="O61" s="1"/>
      <c r="P61" s="1"/>
      <c r="Q61" s="1"/>
      <c r="T61" s="1"/>
    </row>
    <row r="62" spans="14:20" ht="12.75">
      <c r="Q62" s="1"/>
      <c r="S62" s="1"/>
      <c r="T62" s="1"/>
    </row>
    <row r="63" spans="14:20" ht="12.75">
      <c r="P63" s="1"/>
      <c r="Q63" s="1"/>
      <c r="T63" s="1"/>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8"/>
  <sheetViews>
    <sheetView workbookViewId="0"/>
  </sheetViews>
  <sheetFormatPr defaultColWidth="14.42578125" defaultRowHeight="15.75" customHeight="1"/>
  <cols>
    <col min="6" max="6" width="25" customWidth="1"/>
    <col min="7" max="7" width="16.7109375" customWidth="1"/>
    <col min="8" max="8" width="17" customWidth="1"/>
    <col min="9" max="9" width="19.5703125" customWidth="1"/>
    <col min="11" max="11" width="30.28515625" customWidth="1"/>
  </cols>
  <sheetData>
    <row r="1" spans="1:41" ht="15.75" customHeight="1">
      <c r="A1" s="1" t="s">
        <v>1001</v>
      </c>
    </row>
    <row r="3" spans="1:41" ht="15.75" customHeight="1">
      <c r="A3" s="114" t="s">
        <v>1</v>
      </c>
      <c r="B3" s="110" t="s">
        <v>658</v>
      </c>
      <c r="C3" s="114" t="s">
        <v>659</v>
      </c>
      <c r="D3" s="114" t="s">
        <v>660</v>
      </c>
      <c r="E3" s="114" t="s">
        <v>661</v>
      </c>
      <c r="F3" s="114" t="s">
        <v>1032</v>
      </c>
      <c r="G3" s="110" t="s">
        <v>1072</v>
      </c>
      <c r="H3" s="110" t="s">
        <v>585</v>
      </c>
      <c r="I3" s="110" t="s">
        <v>999</v>
      </c>
      <c r="J3" s="114" t="s">
        <v>97</v>
      </c>
      <c r="K3" s="114" t="s">
        <v>664</v>
      </c>
      <c r="L3" s="114" t="s">
        <v>665</v>
      </c>
      <c r="M3" s="114" t="s">
        <v>666</v>
      </c>
      <c r="N3" s="114" t="s">
        <v>667</v>
      </c>
      <c r="Q3" s="1"/>
      <c r="S3" s="1"/>
      <c r="T3" s="1"/>
      <c r="Z3" s="1" t="s">
        <v>1110</v>
      </c>
      <c r="AK3" s="1" t="s">
        <v>1111</v>
      </c>
    </row>
    <row r="4" spans="1:41" ht="15.75" customHeight="1">
      <c r="A4" s="114" t="s">
        <v>962</v>
      </c>
      <c r="B4" s="114"/>
      <c r="C4" s="114"/>
      <c r="D4" s="114"/>
      <c r="E4" s="114"/>
      <c r="F4" s="114"/>
      <c r="G4" s="114"/>
      <c r="H4" s="110"/>
      <c r="I4" s="114"/>
      <c r="J4" s="114"/>
      <c r="K4" s="114"/>
      <c r="L4" s="114"/>
      <c r="N4" s="114"/>
      <c r="P4" s="1" t="s">
        <v>6</v>
      </c>
      <c r="Q4" s="1" t="s">
        <v>7</v>
      </c>
      <c r="R4" s="1" t="s">
        <v>8</v>
      </c>
      <c r="S4" s="1" t="s">
        <v>9</v>
      </c>
      <c r="T4" s="1" t="s">
        <v>10</v>
      </c>
      <c r="V4" s="103" t="s">
        <v>11</v>
      </c>
      <c r="W4" s="103" t="s">
        <v>397</v>
      </c>
      <c r="X4" s="103" t="s">
        <v>1000</v>
      </c>
      <c r="Y4" s="1" t="s">
        <v>1112</v>
      </c>
      <c r="Z4" s="1" t="s">
        <v>6</v>
      </c>
      <c r="AA4" s="1" t="s">
        <v>7</v>
      </c>
      <c r="AB4" s="1" t="s">
        <v>8</v>
      </c>
      <c r="AC4" s="1" t="s">
        <v>9</v>
      </c>
      <c r="AD4" s="1" t="s">
        <v>10</v>
      </c>
      <c r="AF4" s="103" t="s">
        <v>11</v>
      </c>
      <c r="AG4" s="103" t="s">
        <v>397</v>
      </c>
      <c r="AH4" s="103" t="s">
        <v>1000</v>
      </c>
      <c r="AI4" s="1" t="s">
        <v>1112</v>
      </c>
      <c r="AK4" s="1" t="s">
        <v>6</v>
      </c>
      <c r="AL4" s="1" t="s">
        <v>7</v>
      </c>
      <c r="AM4" s="1" t="s">
        <v>8</v>
      </c>
      <c r="AN4" s="1" t="s">
        <v>9</v>
      </c>
      <c r="AO4" s="1" t="s">
        <v>10</v>
      </c>
    </row>
    <row r="5" spans="1:41" ht="15.75" customHeight="1">
      <c r="A5" s="110" t="s">
        <v>17</v>
      </c>
      <c r="B5" s="110" t="s">
        <v>669</v>
      </c>
      <c r="C5" s="110" t="s">
        <v>591</v>
      </c>
      <c r="D5" s="111">
        <v>4</v>
      </c>
      <c r="E5" s="127">
        <f t="shared" ref="E5:E22" si="0">D5+L5/1000</f>
        <v>4.2</v>
      </c>
      <c r="F5" s="110" t="s">
        <v>1113</v>
      </c>
      <c r="G5" s="112" t="s">
        <v>1035</v>
      </c>
      <c r="H5" s="112" t="s">
        <v>1035</v>
      </c>
      <c r="I5" s="112" t="s">
        <v>1114</v>
      </c>
      <c r="J5" s="111">
        <v>1</v>
      </c>
      <c r="K5" s="111">
        <v>10</v>
      </c>
      <c r="L5" s="112">
        <v>200</v>
      </c>
      <c r="M5" s="112">
        <v>10</v>
      </c>
      <c r="N5" s="112">
        <v>50</v>
      </c>
      <c r="O5" s="103" t="s">
        <v>1115</v>
      </c>
      <c r="P5" s="123">
        <v>11825</v>
      </c>
      <c r="Q5" s="123">
        <v>0</v>
      </c>
      <c r="R5" s="123">
        <v>788</v>
      </c>
      <c r="S5" s="123">
        <v>434.5</v>
      </c>
      <c r="T5" s="123">
        <v>262.2</v>
      </c>
      <c r="V5">
        <f t="shared" ref="V5:V22" si="1">$W$5/R5*S5</f>
        <v>187.4746192893401</v>
      </c>
      <c r="W5" s="1">
        <v>340</v>
      </c>
      <c r="AG5" s="1">
        <v>340</v>
      </c>
    </row>
    <row r="6" spans="1:41" ht="15.75" customHeight="1">
      <c r="A6" s="110" t="s">
        <v>18</v>
      </c>
      <c r="B6" s="110" t="s">
        <v>669</v>
      </c>
      <c r="C6" s="110" t="s">
        <v>591</v>
      </c>
      <c r="D6" s="111">
        <v>4</v>
      </c>
      <c r="E6" s="127">
        <f t="shared" si="0"/>
        <v>4.2</v>
      </c>
      <c r="F6" s="110" t="s">
        <v>1113</v>
      </c>
      <c r="G6" s="112" t="s">
        <v>1035</v>
      </c>
      <c r="H6" s="112" t="s">
        <v>1035</v>
      </c>
      <c r="I6" s="112" t="s">
        <v>1114</v>
      </c>
      <c r="J6" s="111">
        <v>1</v>
      </c>
      <c r="K6" s="111">
        <v>10</v>
      </c>
      <c r="L6" s="112">
        <v>200</v>
      </c>
      <c r="M6" s="112">
        <v>10</v>
      </c>
      <c r="N6" s="112">
        <v>50</v>
      </c>
      <c r="O6" s="103" t="s">
        <v>1115</v>
      </c>
      <c r="P6" s="123">
        <v>14404.9</v>
      </c>
      <c r="Q6" s="123">
        <v>0</v>
      </c>
      <c r="R6" s="123">
        <v>537.70000000000005</v>
      </c>
      <c r="S6" s="123">
        <v>375.6</v>
      </c>
      <c r="T6" s="123">
        <v>341.8</v>
      </c>
      <c r="V6">
        <f t="shared" si="1"/>
        <v>237.50046494327691</v>
      </c>
    </row>
    <row r="7" spans="1:41" ht="15.75" customHeight="1">
      <c r="A7" s="110" t="s">
        <v>19</v>
      </c>
      <c r="B7" s="110" t="s">
        <v>669</v>
      </c>
      <c r="C7" s="110" t="s">
        <v>591</v>
      </c>
      <c r="D7" s="111">
        <v>4</v>
      </c>
      <c r="E7" s="127">
        <f t="shared" si="0"/>
        <v>4.2</v>
      </c>
      <c r="F7" s="110" t="s">
        <v>1113</v>
      </c>
      <c r="G7" s="112" t="s">
        <v>1035</v>
      </c>
      <c r="H7" s="112" t="s">
        <v>1035</v>
      </c>
      <c r="I7" s="112" t="s">
        <v>1114</v>
      </c>
      <c r="J7" s="111">
        <v>1</v>
      </c>
      <c r="K7" s="111">
        <v>10</v>
      </c>
      <c r="L7" s="112">
        <v>200</v>
      </c>
      <c r="M7" s="112">
        <v>10</v>
      </c>
      <c r="N7" s="112">
        <v>50</v>
      </c>
      <c r="O7" s="103" t="s">
        <v>1115</v>
      </c>
      <c r="P7" s="123">
        <v>12987.2</v>
      </c>
      <c r="Q7" s="123">
        <v>0</v>
      </c>
      <c r="R7" s="123">
        <v>633.6</v>
      </c>
      <c r="S7" s="123">
        <v>450.1</v>
      </c>
      <c r="T7" s="123">
        <v>291.7</v>
      </c>
      <c r="V7">
        <f t="shared" si="1"/>
        <v>241.53093434343432</v>
      </c>
      <c r="X7">
        <f>AVERAGE(V5:V7)</f>
        <v>222.16867285868378</v>
      </c>
      <c r="Y7" s="1" t="s">
        <v>1116</v>
      </c>
      <c r="Z7" s="1"/>
      <c r="AA7" s="1"/>
      <c r="AB7" s="1"/>
      <c r="AC7" s="1"/>
      <c r="AD7" s="1"/>
      <c r="AE7" s="1"/>
      <c r="AF7" s="1"/>
      <c r="AG7" s="1"/>
      <c r="AH7" s="1"/>
      <c r="AI7" s="1"/>
      <c r="AJ7" s="1"/>
    </row>
    <row r="8" spans="1:41" ht="15.75" customHeight="1">
      <c r="A8" s="110" t="s">
        <v>20</v>
      </c>
      <c r="B8" s="1" t="s">
        <v>675</v>
      </c>
      <c r="C8" s="110" t="s">
        <v>591</v>
      </c>
      <c r="D8" s="111">
        <v>4</v>
      </c>
      <c r="E8" s="127">
        <f t="shared" si="0"/>
        <v>4.2</v>
      </c>
      <c r="F8" s="110" t="s">
        <v>1113</v>
      </c>
      <c r="G8" s="112" t="s">
        <v>1035</v>
      </c>
      <c r="H8" s="110" t="s">
        <v>1003</v>
      </c>
      <c r="I8" s="112" t="s">
        <v>1114</v>
      </c>
      <c r="J8" s="111">
        <v>1</v>
      </c>
      <c r="K8" s="111">
        <v>10</v>
      </c>
      <c r="L8" s="112">
        <v>200</v>
      </c>
      <c r="M8" s="112">
        <v>10</v>
      </c>
      <c r="N8" s="112">
        <v>50</v>
      </c>
      <c r="O8" s="103" t="s">
        <v>1115</v>
      </c>
      <c r="P8" s="103">
        <v>12667.5</v>
      </c>
      <c r="Q8" s="103">
        <v>0</v>
      </c>
      <c r="R8" s="103">
        <v>333.1</v>
      </c>
      <c r="S8" s="103">
        <v>1288.5</v>
      </c>
      <c r="T8" s="103">
        <v>25.8</v>
      </c>
      <c r="V8">
        <f t="shared" si="1"/>
        <v>1315.1906334434102</v>
      </c>
      <c r="Z8" s="1">
        <v>13841.6</v>
      </c>
      <c r="AA8" s="1">
        <v>0</v>
      </c>
      <c r="AB8" s="1">
        <v>369</v>
      </c>
      <c r="AC8" s="1">
        <v>708.1</v>
      </c>
      <c r="AD8" s="1">
        <v>233</v>
      </c>
      <c r="AF8">
        <f t="shared" ref="AF8:AF10" si="2">$AG$5/AB8*AC8</f>
        <v>652.44986449864507</v>
      </c>
      <c r="AK8" s="1">
        <v>12854</v>
      </c>
      <c r="AM8" s="1">
        <v>806</v>
      </c>
      <c r="AO8" s="1">
        <v>450</v>
      </c>
    </row>
    <row r="9" spans="1:41" ht="15.75" customHeight="1">
      <c r="A9" s="110" t="s">
        <v>21</v>
      </c>
      <c r="B9" s="1" t="s">
        <v>675</v>
      </c>
      <c r="C9" s="110" t="s">
        <v>591</v>
      </c>
      <c r="D9" s="111">
        <v>4</v>
      </c>
      <c r="E9" s="127">
        <f t="shared" si="0"/>
        <v>4.2</v>
      </c>
      <c r="F9" s="110" t="s">
        <v>1113</v>
      </c>
      <c r="G9" s="112" t="s">
        <v>1035</v>
      </c>
      <c r="H9" s="110" t="s">
        <v>1003</v>
      </c>
      <c r="I9" s="112" t="s">
        <v>1114</v>
      </c>
      <c r="J9" s="111">
        <v>1</v>
      </c>
      <c r="K9" s="111">
        <v>10</v>
      </c>
      <c r="L9" s="112">
        <v>200</v>
      </c>
      <c r="M9" s="112">
        <v>10</v>
      </c>
      <c r="N9" s="112">
        <v>50</v>
      </c>
      <c r="O9" s="103" t="s">
        <v>1115</v>
      </c>
      <c r="P9" s="103">
        <v>12583.7</v>
      </c>
      <c r="Q9" s="103">
        <v>0</v>
      </c>
      <c r="R9" s="175">
        <v>332.3</v>
      </c>
      <c r="S9" s="1">
        <v>1265.3</v>
      </c>
      <c r="T9" s="1">
        <v>44.6</v>
      </c>
      <c r="V9">
        <f t="shared" si="1"/>
        <v>1294.619319891664</v>
      </c>
      <c r="Z9" s="1">
        <v>13409.2</v>
      </c>
      <c r="AA9" s="1">
        <v>0</v>
      </c>
      <c r="AB9" s="1">
        <v>461.4</v>
      </c>
      <c r="AC9" s="1">
        <v>578.29999999999995</v>
      </c>
      <c r="AD9" s="1">
        <v>258.7</v>
      </c>
      <c r="AF9">
        <f t="shared" si="2"/>
        <v>426.14217598612913</v>
      </c>
      <c r="AK9" s="1">
        <v>13707</v>
      </c>
      <c r="AM9" s="1">
        <v>677</v>
      </c>
      <c r="AO9" s="1">
        <v>460</v>
      </c>
    </row>
    <row r="10" spans="1:41" ht="15.75" customHeight="1">
      <c r="A10" s="110" t="s">
        <v>1076</v>
      </c>
      <c r="B10" s="1" t="s">
        <v>675</v>
      </c>
      <c r="C10" s="110" t="s">
        <v>591</v>
      </c>
      <c r="D10" s="111">
        <v>4</v>
      </c>
      <c r="E10" s="127">
        <f t="shared" si="0"/>
        <v>4.2</v>
      </c>
      <c r="F10" s="110" t="s">
        <v>1113</v>
      </c>
      <c r="G10" s="112" t="s">
        <v>1035</v>
      </c>
      <c r="H10" s="110" t="s">
        <v>1003</v>
      </c>
      <c r="I10" s="112" t="s">
        <v>1114</v>
      </c>
      <c r="J10" s="111">
        <v>1</v>
      </c>
      <c r="K10" s="111">
        <v>10</v>
      </c>
      <c r="L10" s="112">
        <v>200</v>
      </c>
      <c r="M10" s="112">
        <v>10</v>
      </c>
      <c r="N10" s="112">
        <v>50</v>
      </c>
      <c r="O10" s="103" t="s">
        <v>1115</v>
      </c>
      <c r="P10" s="1">
        <v>12403.8</v>
      </c>
      <c r="Q10" s="1">
        <v>0</v>
      </c>
      <c r="R10" s="1">
        <v>331</v>
      </c>
      <c r="S10" s="1">
        <v>1286.9000000000001</v>
      </c>
      <c r="T10" s="1">
        <v>35.200000000000003</v>
      </c>
      <c r="V10">
        <f t="shared" si="1"/>
        <v>1321.8912386706952</v>
      </c>
      <c r="X10">
        <f>AVERAGE(V8:V10)</f>
        <v>1310.5670640019232</v>
      </c>
      <c r="Y10" s="1" t="s">
        <v>1117</v>
      </c>
      <c r="Z10" s="1">
        <v>13440.5</v>
      </c>
      <c r="AA10" s="1">
        <v>0</v>
      </c>
      <c r="AB10" s="1">
        <v>358</v>
      </c>
      <c r="AC10" s="1">
        <v>800.3</v>
      </c>
      <c r="AD10" s="1">
        <v>190.9</v>
      </c>
      <c r="AE10" s="1"/>
      <c r="AF10">
        <f t="shared" si="2"/>
        <v>760.0614525139664</v>
      </c>
      <c r="AG10" s="1"/>
      <c r="AH10" s="1">
        <f>AVERAGE(AF8:AF10)</f>
        <v>612.88449766624683</v>
      </c>
      <c r="AI10" s="1" t="s">
        <v>1117</v>
      </c>
      <c r="AJ10" s="1"/>
      <c r="AK10" s="1">
        <v>13690</v>
      </c>
      <c r="AL10" s="1"/>
      <c r="AM10" s="1">
        <v>653</v>
      </c>
      <c r="AN10" s="1"/>
      <c r="AO10" s="1">
        <v>456</v>
      </c>
    </row>
    <row r="11" spans="1:41" ht="15.75" customHeight="1">
      <c r="A11" s="110" t="s">
        <v>23</v>
      </c>
      <c r="B11" s="110" t="s">
        <v>678</v>
      </c>
      <c r="C11" s="110" t="s">
        <v>591</v>
      </c>
      <c r="D11" s="112">
        <v>4</v>
      </c>
      <c r="E11" s="127">
        <f t="shared" si="0"/>
        <v>4.2</v>
      </c>
      <c r="F11" s="110" t="s">
        <v>1113</v>
      </c>
      <c r="G11" s="112" t="s">
        <v>1118</v>
      </c>
      <c r="H11" s="110" t="s">
        <v>1003</v>
      </c>
      <c r="I11" s="112" t="s">
        <v>1119</v>
      </c>
      <c r="J11" s="111">
        <v>1</v>
      </c>
      <c r="K11" s="111">
        <v>10</v>
      </c>
      <c r="L11" s="112">
        <v>200</v>
      </c>
      <c r="M11" s="112">
        <v>10</v>
      </c>
      <c r="N11" s="112">
        <v>50</v>
      </c>
      <c r="O11" s="1" t="s">
        <v>1120</v>
      </c>
      <c r="P11" s="1">
        <v>12749.5</v>
      </c>
      <c r="Q11" s="1">
        <v>0</v>
      </c>
      <c r="R11" s="1">
        <v>348.3</v>
      </c>
      <c r="S11" s="1">
        <v>1168.9000000000001</v>
      </c>
      <c r="T11" s="1">
        <v>77.3</v>
      </c>
      <c r="V11">
        <f t="shared" si="1"/>
        <v>1141.0450760838357</v>
      </c>
      <c r="AI11" s="1" t="s">
        <v>1117</v>
      </c>
      <c r="AJ11" s="1"/>
      <c r="AK11" s="1"/>
      <c r="AL11" s="1"/>
      <c r="AM11" s="1"/>
      <c r="AN11" s="1"/>
      <c r="AO11" s="1"/>
    </row>
    <row r="12" spans="1:41" ht="15.75" customHeight="1">
      <c r="A12" s="110" t="s">
        <v>24</v>
      </c>
      <c r="B12" s="110" t="s">
        <v>678</v>
      </c>
      <c r="C12" s="110" t="s">
        <v>591</v>
      </c>
      <c r="D12" s="112">
        <v>4</v>
      </c>
      <c r="E12" s="127">
        <f t="shared" si="0"/>
        <v>4.2</v>
      </c>
      <c r="F12" s="110" t="s">
        <v>1113</v>
      </c>
      <c r="G12" s="112" t="s">
        <v>1118</v>
      </c>
      <c r="H12" s="110" t="s">
        <v>1003</v>
      </c>
      <c r="I12" s="112" t="s">
        <v>1119</v>
      </c>
      <c r="J12" s="111">
        <v>1</v>
      </c>
      <c r="K12" s="111">
        <v>10</v>
      </c>
      <c r="L12" s="112">
        <v>200</v>
      </c>
      <c r="M12" s="112">
        <v>10</v>
      </c>
      <c r="N12" s="112">
        <v>50</v>
      </c>
      <c r="O12" s="1" t="s">
        <v>1120</v>
      </c>
      <c r="P12" s="1">
        <v>12425.8</v>
      </c>
      <c r="Q12" s="1">
        <v>0</v>
      </c>
      <c r="R12" s="1">
        <v>330.6</v>
      </c>
      <c r="S12" s="1">
        <v>1110.2</v>
      </c>
      <c r="T12" s="1">
        <v>58.5</v>
      </c>
      <c r="V12">
        <f t="shared" si="1"/>
        <v>1141.7664851784634</v>
      </c>
    </row>
    <row r="13" spans="1:41" ht="15.75" customHeight="1">
      <c r="A13" s="110" t="s">
        <v>25</v>
      </c>
      <c r="B13" s="110" t="s">
        <v>678</v>
      </c>
      <c r="C13" s="110" t="s">
        <v>591</v>
      </c>
      <c r="D13" s="112">
        <v>4</v>
      </c>
      <c r="E13" s="127">
        <f t="shared" si="0"/>
        <v>4.2</v>
      </c>
      <c r="F13" s="110" t="s">
        <v>1113</v>
      </c>
      <c r="G13" s="112" t="s">
        <v>1118</v>
      </c>
      <c r="H13" s="110" t="s">
        <v>1003</v>
      </c>
      <c r="I13" s="112" t="s">
        <v>1119</v>
      </c>
      <c r="J13" s="111">
        <v>1</v>
      </c>
      <c r="K13" s="111">
        <v>10</v>
      </c>
      <c r="L13" s="112">
        <v>200</v>
      </c>
      <c r="M13" s="112">
        <v>10</v>
      </c>
      <c r="N13" s="112">
        <v>50</v>
      </c>
      <c r="O13" s="1" t="s">
        <v>1120</v>
      </c>
      <c r="P13" s="1">
        <v>12947.1</v>
      </c>
      <c r="Q13" s="1">
        <v>0</v>
      </c>
      <c r="R13" s="1">
        <v>343.2</v>
      </c>
      <c r="S13" s="1">
        <v>947.8</v>
      </c>
      <c r="T13" s="1">
        <v>137.69999999999999</v>
      </c>
      <c r="V13">
        <f t="shared" si="1"/>
        <v>938.96270396270393</v>
      </c>
      <c r="X13">
        <f>AVERAGE(V11:V13)</f>
        <v>1073.924755075001</v>
      </c>
    </row>
    <row r="14" spans="1:41" ht="15.75" customHeight="1">
      <c r="A14" s="110" t="s">
        <v>26</v>
      </c>
      <c r="B14" s="110" t="s">
        <v>1078</v>
      </c>
      <c r="C14" s="110" t="s">
        <v>591</v>
      </c>
      <c r="D14" s="112">
        <v>4</v>
      </c>
      <c r="E14" s="127">
        <f t="shared" si="0"/>
        <v>4.2</v>
      </c>
      <c r="F14" s="110" t="s">
        <v>1113</v>
      </c>
      <c r="G14" s="112" t="s">
        <v>1121</v>
      </c>
      <c r="H14" s="110" t="s">
        <v>1003</v>
      </c>
      <c r="I14" s="112" t="s">
        <v>1122</v>
      </c>
      <c r="J14" s="111">
        <v>1</v>
      </c>
      <c r="K14" s="111">
        <v>10</v>
      </c>
      <c r="L14" s="112">
        <v>200</v>
      </c>
      <c r="M14" s="112">
        <v>10</v>
      </c>
      <c r="N14" s="112">
        <v>50</v>
      </c>
      <c r="O14" s="1"/>
      <c r="P14" s="1" t="s">
        <v>1123</v>
      </c>
      <c r="Q14" s="1"/>
      <c r="T14" s="1"/>
      <c r="V14" t="e">
        <f t="shared" si="1"/>
        <v>#DIV/0!</v>
      </c>
    </row>
    <row r="15" spans="1:41" ht="15.75" customHeight="1">
      <c r="A15" s="110" t="s">
        <v>27</v>
      </c>
      <c r="B15" s="110" t="s">
        <v>1078</v>
      </c>
      <c r="C15" s="110" t="s">
        <v>591</v>
      </c>
      <c r="D15" s="112">
        <v>4</v>
      </c>
      <c r="E15" s="127">
        <f t="shared" si="0"/>
        <v>4.2</v>
      </c>
      <c r="F15" s="110" t="s">
        <v>1113</v>
      </c>
      <c r="G15" s="112" t="s">
        <v>1121</v>
      </c>
      <c r="H15" s="110" t="s">
        <v>1003</v>
      </c>
      <c r="I15" s="112" t="s">
        <v>1122</v>
      </c>
      <c r="J15" s="111">
        <v>1</v>
      </c>
      <c r="K15" s="111">
        <v>10</v>
      </c>
      <c r="L15" s="112">
        <v>200</v>
      </c>
      <c r="M15" s="112">
        <v>10</v>
      </c>
      <c r="N15" s="112">
        <v>50</v>
      </c>
      <c r="O15" s="1" t="s">
        <v>1120</v>
      </c>
      <c r="P15" s="1">
        <v>13190.8</v>
      </c>
      <c r="Q15" s="1">
        <v>0</v>
      </c>
      <c r="R15" s="1">
        <v>353.7</v>
      </c>
      <c r="S15" s="1">
        <v>840.2</v>
      </c>
      <c r="T15" s="1">
        <v>192.1</v>
      </c>
      <c r="V15">
        <f t="shared" si="1"/>
        <v>807.65620582414488</v>
      </c>
    </row>
    <row r="16" spans="1:41" ht="15.75" customHeight="1">
      <c r="A16" s="110" t="s">
        <v>28</v>
      </c>
      <c r="B16" s="110" t="s">
        <v>1078</v>
      </c>
      <c r="C16" s="110" t="s">
        <v>591</v>
      </c>
      <c r="D16" s="112">
        <v>4</v>
      </c>
      <c r="E16" s="127">
        <f t="shared" si="0"/>
        <v>4.2</v>
      </c>
      <c r="F16" s="110" t="s">
        <v>1113</v>
      </c>
      <c r="G16" s="112" t="s">
        <v>1121</v>
      </c>
      <c r="H16" s="110" t="s">
        <v>1003</v>
      </c>
      <c r="I16" s="112" t="s">
        <v>1122</v>
      </c>
      <c r="J16" s="111">
        <v>1</v>
      </c>
      <c r="K16" s="111">
        <v>10</v>
      </c>
      <c r="L16" s="112">
        <v>200</v>
      </c>
      <c r="M16" s="112">
        <v>10</v>
      </c>
      <c r="N16" s="112">
        <v>50</v>
      </c>
      <c r="O16" s="1" t="s">
        <v>1120</v>
      </c>
      <c r="P16" s="1">
        <v>12829.3</v>
      </c>
      <c r="Q16" s="1">
        <v>0</v>
      </c>
      <c r="R16" s="1">
        <v>351.1</v>
      </c>
      <c r="S16" s="1">
        <v>936.6</v>
      </c>
      <c r="T16" s="1">
        <v>149.1</v>
      </c>
      <c r="V16">
        <f t="shared" si="1"/>
        <v>906.98946169182568</v>
      </c>
      <c r="X16">
        <f>AVERAGE(V15:V16)</f>
        <v>857.32283375798534</v>
      </c>
    </row>
    <row r="17" spans="1:24" ht="15.75" customHeight="1">
      <c r="A17" s="110" t="s">
        <v>29</v>
      </c>
      <c r="B17" s="110" t="s">
        <v>1124</v>
      </c>
      <c r="C17" s="110" t="s">
        <v>591</v>
      </c>
      <c r="D17" s="112">
        <v>4</v>
      </c>
      <c r="E17" s="127">
        <f t="shared" si="0"/>
        <v>4.2</v>
      </c>
      <c r="F17" s="110" t="s">
        <v>1113</v>
      </c>
      <c r="G17" s="112" t="s">
        <v>1121</v>
      </c>
      <c r="H17" s="110" t="s">
        <v>1003</v>
      </c>
      <c r="I17" s="112" t="s">
        <v>1125</v>
      </c>
      <c r="J17" s="111">
        <v>1</v>
      </c>
      <c r="K17" s="111">
        <v>10</v>
      </c>
      <c r="L17" s="112">
        <v>200</v>
      </c>
      <c r="M17" s="112">
        <v>10</v>
      </c>
      <c r="N17" s="112">
        <v>50</v>
      </c>
      <c r="O17" s="1" t="s">
        <v>1120</v>
      </c>
      <c r="P17" s="1">
        <v>11809.4</v>
      </c>
      <c r="Q17" s="1">
        <v>0</v>
      </c>
      <c r="R17" s="1">
        <v>376.1</v>
      </c>
      <c r="S17" s="1">
        <v>1100.4000000000001</v>
      </c>
      <c r="T17" s="1">
        <v>70.900000000000006</v>
      </c>
      <c r="V17">
        <f t="shared" si="1"/>
        <v>994.77798457856954</v>
      </c>
    </row>
    <row r="18" spans="1:24" ht="15.75" customHeight="1">
      <c r="A18" s="110" t="s">
        <v>30</v>
      </c>
      <c r="B18" s="110" t="s">
        <v>1124</v>
      </c>
      <c r="C18" s="110" t="s">
        <v>591</v>
      </c>
      <c r="D18" s="112">
        <v>4</v>
      </c>
      <c r="E18" s="127">
        <f t="shared" si="0"/>
        <v>4.2</v>
      </c>
      <c r="F18" s="110" t="s">
        <v>1113</v>
      </c>
      <c r="G18" s="112" t="s">
        <v>1121</v>
      </c>
      <c r="H18" s="110" t="s">
        <v>1003</v>
      </c>
      <c r="I18" s="112" t="s">
        <v>1125</v>
      </c>
      <c r="J18" s="111">
        <v>1</v>
      </c>
      <c r="K18" s="111">
        <v>10</v>
      </c>
      <c r="L18" s="112">
        <v>200</v>
      </c>
      <c r="M18" s="112">
        <v>10</v>
      </c>
      <c r="N18" s="112">
        <v>50</v>
      </c>
      <c r="O18" s="1" t="s">
        <v>1120</v>
      </c>
      <c r="P18" s="1">
        <v>12358.3</v>
      </c>
      <c r="Q18" s="1">
        <v>0</v>
      </c>
      <c r="R18" s="1">
        <v>333.9</v>
      </c>
      <c r="S18" s="1">
        <v>1135.0999999999999</v>
      </c>
      <c r="T18" s="1">
        <v>83.5</v>
      </c>
      <c r="V18">
        <f t="shared" si="1"/>
        <v>1155.8370769691523</v>
      </c>
    </row>
    <row r="19" spans="1:24" ht="15.75" customHeight="1">
      <c r="A19" s="110" t="s">
        <v>31</v>
      </c>
      <c r="B19" s="110" t="s">
        <v>1124</v>
      </c>
      <c r="C19" s="110" t="s">
        <v>591</v>
      </c>
      <c r="D19" s="112">
        <v>4</v>
      </c>
      <c r="E19" s="127">
        <f t="shared" si="0"/>
        <v>4.2</v>
      </c>
      <c r="F19" s="110" t="s">
        <v>1113</v>
      </c>
      <c r="G19" s="112" t="s">
        <v>1121</v>
      </c>
      <c r="H19" s="110" t="s">
        <v>1003</v>
      </c>
      <c r="I19" s="112" t="s">
        <v>1125</v>
      </c>
      <c r="J19" s="111">
        <v>1</v>
      </c>
      <c r="K19" s="111">
        <v>10</v>
      </c>
      <c r="L19" s="112">
        <v>200</v>
      </c>
      <c r="M19" s="112">
        <v>10</v>
      </c>
      <c r="N19" s="112">
        <v>50</v>
      </c>
      <c r="O19" s="1" t="s">
        <v>1120</v>
      </c>
      <c r="P19" s="1">
        <v>11782.8</v>
      </c>
      <c r="Q19" s="1">
        <v>0</v>
      </c>
      <c r="R19" s="1">
        <v>350.6</v>
      </c>
      <c r="S19" s="1">
        <v>1082</v>
      </c>
      <c r="T19" s="1">
        <v>62.8</v>
      </c>
      <c r="V19">
        <f t="shared" si="1"/>
        <v>1049.2869366799771</v>
      </c>
      <c r="X19">
        <f>AVERAGE(V17:V19)</f>
        <v>1066.633999409233</v>
      </c>
    </row>
    <row r="20" spans="1:24" ht="15.75" customHeight="1">
      <c r="A20" s="110" t="s">
        <v>32</v>
      </c>
      <c r="B20" s="110" t="s">
        <v>1126</v>
      </c>
      <c r="C20" s="110" t="s">
        <v>1127</v>
      </c>
      <c r="D20" s="112">
        <v>4</v>
      </c>
      <c r="E20" s="127">
        <f t="shared" si="0"/>
        <v>4.12</v>
      </c>
      <c r="F20" s="110" t="s">
        <v>1113</v>
      </c>
      <c r="G20" s="112" t="s">
        <v>1121</v>
      </c>
      <c r="H20" s="110" t="s">
        <v>1003</v>
      </c>
      <c r="I20" s="112" t="s">
        <v>1125</v>
      </c>
      <c r="J20" s="112">
        <v>2</v>
      </c>
      <c r="K20" s="111">
        <v>10</v>
      </c>
      <c r="L20" s="112">
        <v>120</v>
      </c>
      <c r="M20" s="112">
        <v>10</v>
      </c>
      <c r="N20" s="112">
        <v>50</v>
      </c>
      <c r="O20" s="1" t="s">
        <v>1120</v>
      </c>
      <c r="P20" s="1">
        <v>13003.6</v>
      </c>
      <c r="Q20" s="1">
        <v>0</v>
      </c>
      <c r="R20" s="1">
        <v>393.9</v>
      </c>
      <c r="S20" s="1">
        <v>629.4</v>
      </c>
      <c r="T20" s="1">
        <v>257.3</v>
      </c>
      <c r="V20">
        <f t="shared" si="1"/>
        <v>543.27494287890329</v>
      </c>
    </row>
    <row r="21" spans="1:24" ht="15.75" customHeight="1">
      <c r="A21" s="110" t="s">
        <v>34</v>
      </c>
      <c r="B21" s="110" t="s">
        <v>1126</v>
      </c>
      <c r="C21" s="110" t="s">
        <v>1127</v>
      </c>
      <c r="D21" s="112">
        <v>4</v>
      </c>
      <c r="E21" s="127">
        <f t="shared" si="0"/>
        <v>4.12</v>
      </c>
      <c r="F21" s="110" t="s">
        <v>1113</v>
      </c>
      <c r="G21" s="112" t="s">
        <v>1121</v>
      </c>
      <c r="H21" s="110" t="s">
        <v>1003</v>
      </c>
      <c r="I21" s="112" t="s">
        <v>1125</v>
      </c>
      <c r="J21" s="112">
        <v>2</v>
      </c>
      <c r="K21" s="111">
        <v>10</v>
      </c>
      <c r="L21" s="112">
        <v>120</v>
      </c>
      <c r="M21" s="112">
        <v>10</v>
      </c>
      <c r="N21" s="112">
        <v>50</v>
      </c>
      <c r="O21" s="1" t="s">
        <v>1120</v>
      </c>
      <c r="P21" s="1">
        <v>12439.3</v>
      </c>
      <c r="Q21" s="1">
        <v>0</v>
      </c>
      <c r="R21" s="1">
        <v>589.70000000000005</v>
      </c>
      <c r="S21" s="1">
        <v>351.1</v>
      </c>
      <c r="T21" s="1">
        <v>282.7</v>
      </c>
      <c r="V21">
        <f t="shared" si="1"/>
        <v>202.4317449550619</v>
      </c>
    </row>
    <row r="22" spans="1:24" ht="15.75" customHeight="1">
      <c r="A22" s="110" t="s">
        <v>36</v>
      </c>
      <c r="B22" s="110" t="s">
        <v>1126</v>
      </c>
      <c r="C22" s="110" t="s">
        <v>1127</v>
      </c>
      <c r="D22" s="112">
        <v>4</v>
      </c>
      <c r="E22" s="127">
        <f t="shared" si="0"/>
        <v>4.12</v>
      </c>
      <c r="F22" s="110" t="s">
        <v>1113</v>
      </c>
      <c r="G22" s="112" t="s">
        <v>1121</v>
      </c>
      <c r="H22" s="110" t="s">
        <v>1003</v>
      </c>
      <c r="I22" s="112" t="s">
        <v>1125</v>
      </c>
      <c r="J22" s="112">
        <v>2</v>
      </c>
      <c r="K22" s="111">
        <v>10</v>
      </c>
      <c r="L22" s="112">
        <v>120</v>
      </c>
      <c r="M22" s="112">
        <v>10</v>
      </c>
      <c r="N22" s="112">
        <v>50</v>
      </c>
      <c r="O22" s="1" t="s">
        <v>1120</v>
      </c>
      <c r="P22" s="1">
        <v>12214</v>
      </c>
      <c r="Q22" s="1">
        <v>0</v>
      </c>
      <c r="R22" s="1">
        <v>583.79999999999995</v>
      </c>
      <c r="S22" s="1">
        <v>454.7</v>
      </c>
      <c r="T22" s="1">
        <v>275.7</v>
      </c>
      <c r="V22">
        <f t="shared" si="1"/>
        <v>264.81329222336416</v>
      </c>
      <c r="X22">
        <f>AVERAGE(V20:V22)</f>
        <v>336.83999335244312</v>
      </c>
    </row>
    <row r="23" spans="1:24" ht="15.75" customHeight="1">
      <c r="A23" s="114"/>
      <c r="B23" s="114"/>
      <c r="C23" s="114"/>
      <c r="D23" s="127"/>
      <c r="K23" s="1"/>
    </row>
    <row r="24" spans="1:24" ht="15.75" customHeight="1">
      <c r="A24" s="114"/>
      <c r="B24" s="114"/>
      <c r="C24" s="114" t="s">
        <v>300</v>
      </c>
      <c r="D24" s="127">
        <f>SUM(D5:D19)</f>
        <v>60</v>
      </c>
      <c r="K24" s="1" t="s">
        <v>1079</v>
      </c>
      <c r="L24">
        <f>SUM(L5:L19)</f>
        <v>3000</v>
      </c>
    </row>
    <row r="25" spans="1:24" ht="15.75" customHeight="1">
      <c r="A25" s="114"/>
      <c r="K25" s="1" t="s">
        <v>966</v>
      </c>
      <c r="L25">
        <f>SUM(L20:L22)</f>
        <v>360</v>
      </c>
      <c r="P25" s="124"/>
    </row>
    <row r="26" spans="1:24" ht="15.75" customHeight="1">
      <c r="A26" s="125" t="s">
        <v>1040</v>
      </c>
      <c r="B26" s="1"/>
      <c r="C26" s="1" t="s">
        <v>1041</v>
      </c>
      <c r="E26" s="1"/>
      <c r="L26" s="125" t="s">
        <v>968</v>
      </c>
      <c r="M26" s="114"/>
      <c r="N26" s="114"/>
      <c r="P26" s="124"/>
    </row>
    <row r="27" spans="1:24" ht="15.75" customHeight="1">
      <c r="A27" s="1" t="s">
        <v>1128</v>
      </c>
      <c r="E27" s="1"/>
      <c r="L27" s="114" t="s">
        <v>970</v>
      </c>
      <c r="M27" s="114" t="s">
        <v>47</v>
      </c>
      <c r="N27" s="114" t="s">
        <v>300</v>
      </c>
      <c r="P27" s="124"/>
    </row>
    <row r="28" spans="1:24" ht="15.75" customHeight="1">
      <c r="A28" s="1" t="s">
        <v>1129</v>
      </c>
      <c r="E28" s="1"/>
      <c r="K28" s="1"/>
      <c r="L28" s="125" t="s">
        <v>301</v>
      </c>
      <c r="M28" s="126">
        <v>0.3</v>
      </c>
      <c r="P28" s="124"/>
    </row>
    <row r="29" spans="1:24" ht="15.75" customHeight="1">
      <c r="A29" s="1" t="s">
        <v>1130</v>
      </c>
      <c r="E29" s="1"/>
      <c r="J29" s="1" t="s">
        <v>591</v>
      </c>
      <c r="K29" s="1" t="s">
        <v>1131</v>
      </c>
      <c r="L29" s="112">
        <v>1000</v>
      </c>
      <c r="M29" s="127">
        <f>L29/M28-L29</f>
        <v>2333.3333333333335</v>
      </c>
      <c r="N29" s="127">
        <f>SUM(L29:M29)</f>
        <v>3333.3333333333335</v>
      </c>
      <c r="P29" s="124"/>
    </row>
    <row r="30" spans="1:24" ht="15.75" customHeight="1">
      <c r="A30" s="1" t="s">
        <v>1132</v>
      </c>
      <c r="C30" s="1" t="s">
        <v>1133</v>
      </c>
      <c r="E30" s="1"/>
      <c r="J30" s="1" t="s">
        <v>621</v>
      </c>
      <c r="L30" s="1" t="s">
        <v>99</v>
      </c>
      <c r="M30" s="1">
        <v>0.5</v>
      </c>
    </row>
    <row r="31" spans="1:24" ht="15.75" customHeight="1">
      <c r="A31" s="1" t="s">
        <v>1134</v>
      </c>
      <c r="E31" s="1"/>
      <c r="K31" s="1"/>
      <c r="L31" s="168">
        <v>200</v>
      </c>
      <c r="M31" s="126">
        <f>L31/M30-L31</f>
        <v>200</v>
      </c>
      <c r="N31" s="127">
        <f>L31+M31</f>
        <v>400</v>
      </c>
    </row>
    <row r="32" spans="1:24" ht="15.75" customHeight="1">
      <c r="A32" s="1" t="s">
        <v>1135</v>
      </c>
      <c r="E32" s="1"/>
      <c r="I32" s="1" t="s">
        <v>1066</v>
      </c>
      <c r="K32" s="1"/>
      <c r="L32" s="112"/>
      <c r="M32" s="127"/>
      <c r="N32" s="127"/>
    </row>
    <row r="33" spans="1:27" ht="15.75" customHeight="1">
      <c r="A33" s="1" t="s">
        <v>1136</v>
      </c>
      <c r="L33" s="112"/>
      <c r="M33" s="127"/>
      <c r="N33" s="127"/>
    </row>
    <row r="34" spans="1:27" ht="15.75" customHeight="1">
      <c r="A34" s="1" t="s">
        <v>1137</v>
      </c>
      <c r="K34" s="1"/>
      <c r="L34" s="5"/>
      <c r="M34" s="1"/>
    </row>
    <row r="35" spans="1:27" ht="15.75" customHeight="1">
      <c r="A35" s="1" t="s">
        <v>1138</v>
      </c>
      <c r="K35" s="1"/>
      <c r="L35" s="112"/>
      <c r="M35" s="127"/>
      <c r="N35" s="127"/>
    </row>
    <row r="36" spans="1:27" ht="15.75" customHeight="1">
      <c r="A36" s="1" t="s">
        <v>1139</v>
      </c>
    </row>
    <row r="37" spans="1:27" ht="15.75" customHeight="1">
      <c r="A37" s="1" t="s">
        <v>1140</v>
      </c>
      <c r="M37" s="127"/>
    </row>
    <row r="38" spans="1:27" ht="15.75" customHeight="1">
      <c r="A38" s="1" t="s">
        <v>1141</v>
      </c>
    </row>
    <row r="39" spans="1:27" ht="12.75">
      <c r="A39" s="1" t="s">
        <v>1142</v>
      </c>
    </row>
    <row r="40" spans="1:27" ht="12.75">
      <c r="A40" s="1"/>
    </row>
    <row r="41" spans="1:27" ht="12.75">
      <c r="A41" s="1"/>
      <c r="AA41">
        <v>1141.0450760838357</v>
      </c>
    </row>
    <row r="42" spans="1:27" ht="12.75">
      <c r="A42" s="1"/>
      <c r="AA42">
        <v>1141.7664851784634</v>
      </c>
    </row>
    <row r="43" spans="1:27" ht="12.75">
      <c r="AA43">
        <v>938.96270396270393</v>
      </c>
    </row>
    <row r="44" spans="1:27" ht="12.75">
      <c r="AA44" t="e">
        <v>#DIV/0!</v>
      </c>
    </row>
    <row r="45" spans="1:27" ht="12.75">
      <c r="AA45">
        <v>807.65620582414488</v>
      </c>
    </row>
    <row r="46" spans="1:27" ht="12.75">
      <c r="AA46">
        <v>906.98946169182568</v>
      </c>
    </row>
    <row r="47" spans="1:27" ht="12.75">
      <c r="AA47">
        <v>994.77798457856954</v>
      </c>
    </row>
    <row r="48" spans="1:27" ht="12.75">
      <c r="AA48">
        <v>1155.8370769691523</v>
      </c>
    </row>
    <row r="49" spans="18:27" ht="12.75">
      <c r="R49" s="1"/>
      <c r="AA49">
        <v>1049.2869366799771</v>
      </c>
    </row>
    <row r="50" spans="18:27" ht="12.75">
      <c r="AA50">
        <v>543.27494287890329</v>
      </c>
    </row>
    <row r="51" spans="18:27" ht="12.75">
      <c r="AA51">
        <v>202.4317449550619</v>
      </c>
    </row>
    <row r="52" spans="18:27" ht="12.75">
      <c r="AA52">
        <v>264.81329222336416</v>
      </c>
    </row>
    <row r="78" spans="16:18" ht="12.75">
      <c r="P78" s="1"/>
      <c r="R78" s="1"/>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9"/>
  <sheetViews>
    <sheetView workbookViewId="0"/>
  </sheetViews>
  <sheetFormatPr defaultColWidth="14.42578125" defaultRowHeight="15.75" customHeight="1"/>
  <sheetData>
    <row r="1" spans="1:22" ht="12.75">
      <c r="A1" s="114" t="s">
        <v>1</v>
      </c>
      <c r="B1" s="114" t="s">
        <v>659</v>
      </c>
      <c r="C1" s="114" t="s">
        <v>660</v>
      </c>
      <c r="D1" s="114" t="s">
        <v>661</v>
      </c>
      <c r="E1" s="114" t="s">
        <v>1032</v>
      </c>
      <c r="F1" s="110" t="s">
        <v>1033</v>
      </c>
      <c r="G1" s="114" t="s">
        <v>97</v>
      </c>
      <c r="H1" s="114" t="s">
        <v>664</v>
      </c>
      <c r="I1" s="114" t="s">
        <v>665</v>
      </c>
      <c r="J1" s="114" t="s">
        <v>666</v>
      </c>
      <c r="K1" s="114" t="s">
        <v>667</v>
      </c>
      <c r="N1" s="1" t="s">
        <v>6</v>
      </c>
      <c r="O1" s="1" t="s">
        <v>7</v>
      </c>
      <c r="P1" s="1" t="s">
        <v>8</v>
      </c>
      <c r="Q1" s="1" t="s">
        <v>9</v>
      </c>
      <c r="R1" s="1" t="s">
        <v>10</v>
      </c>
      <c r="T1" s="166"/>
      <c r="U1" s="166"/>
      <c r="V1" s="166"/>
    </row>
    <row r="2" spans="1:22" ht="12.75">
      <c r="A2" s="114" t="s">
        <v>17</v>
      </c>
      <c r="B2" s="167" t="s">
        <v>591</v>
      </c>
      <c r="C2" s="111">
        <v>4</v>
      </c>
      <c r="D2" s="127">
        <f t="shared" ref="D2:D31" si="0">C2+I2/1000</f>
        <v>4.2</v>
      </c>
      <c r="E2" s="114" t="s">
        <v>692</v>
      </c>
      <c r="F2" s="112" t="s">
        <v>1143</v>
      </c>
      <c r="G2" s="111">
        <v>1</v>
      </c>
      <c r="H2" s="111">
        <v>10</v>
      </c>
      <c r="I2" s="112">
        <v>200</v>
      </c>
      <c r="J2" s="112">
        <v>10</v>
      </c>
      <c r="K2" s="112">
        <v>50</v>
      </c>
      <c r="L2" s="114"/>
      <c r="M2" s="114" t="s">
        <v>17</v>
      </c>
      <c r="N2" s="1">
        <v>12924</v>
      </c>
      <c r="O2" s="1"/>
      <c r="P2" s="1">
        <v>358</v>
      </c>
      <c r="Q2" s="1">
        <v>1260</v>
      </c>
      <c r="R2" s="1">
        <v>41</v>
      </c>
    </row>
    <row r="3" spans="1:22" ht="12.75">
      <c r="A3" s="114" t="s">
        <v>18</v>
      </c>
      <c r="B3" s="167" t="s">
        <v>591</v>
      </c>
      <c r="C3" s="111">
        <v>4</v>
      </c>
      <c r="D3" s="127">
        <f t="shared" si="0"/>
        <v>4.2</v>
      </c>
      <c r="E3" s="114" t="s">
        <v>692</v>
      </c>
      <c r="F3" s="112" t="s">
        <v>1143</v>
      </c>
      <c r="G3" s="111">
        <v>1</v>
      </c>
      <c r="H3" s="111">
        <v>10</v>
      </c>
      <c r="I3" s="112">
        <v>200</v>
      </c>
      <c r="J3" s="112">
        <v>10</v>
      </c>
      <c r="K3" s="112">
        <v>50</v>
      </c>
      <c r="L3" s="114"/>
      <c r="M3" s="114" t="s">
        <v>18</v>
      </c>
      <c r="N3" s="1">
        <v>12862</v>
      </c>
      <c r="O3" s="1"/>
      <c r="P3" s="1">
        <v>348</v>
      </c>
      <c r="Q3" s="1">
        <v>1271</v>
      </c>
      <c r="R3" s="1">
        <v>35</v>
      </c>
    </row>
    <row r="4" spans="1:22" ht="12.75">
      <c r="A4" s="114" t="s">
        <v>19</v>
      </c>
      <c r="B4" s="167" t="s">
        <v>591</v>
      </c>
      <c r="C4" s="111">
        <v>4</v>
      </c>
      <c r="D4" s="127">
        <f t="shared" si="0"/>
        <v>4.2</v>
      </c>
      <c r="E4" s="114" t="s">
        <v>692</v>
      </c>
      <c r="F4" s="112" t="s">
        <v>1143</v>
      </c>
      <c r="G4" s="111">
        <v>1</v>
      </c>
      <c r="H4" s="111">
        <v>10</v>
      </c>
      <c r="I4" s="112">
        <v>200</v>
      </c>
      <c r="J4" s="112">
        <v>10</v>
      </c>
      <c r="K4" s="112">
        <v>50</v>
      </c>
      <c r="L4" s="114"/>
      <c r="M4" s="114" t="s">
        <v>19</v>
      </c>
      <c r="N4" s="1">
        <v>12314</v>
      </c>
      <c r="P4" s="1">
        <v>352</v>
      </c>
      <c r="Q4" s="1">
        <v>1222</v>
      </c>
      <c r="R4" s="1">
        <v>37</v>
      </c>
    </row>
    <row r="5" spans="1:22" ht="12.75">
      <c r="A5" s="114" t="s">
        <v>20</v>
      </c>
      <c r="B5" s="167" t="s">
        <v>1035</v>
      </c>
      <c r="C5" s="112">
        <v>4</v>
      </c>
      <c r="D5" s="127">
        <f t="shared" si="0"/>
        <v>4.2</v>
      </c>
      <c r="E5" s="114" t="s">
        <v>692</v>
      </c>
      <c r="F5" s="112" t="s">
        <v>1143</v>
      </c>
      <c r="G5" s="112">
        <v>1</v>
      </c>
      <c r="H5" s="111">
        <v>10</v>
      </c>
      <c r="I5" s="112">
        <v>200</v>
      </c>
      <c r="J5" s="112">
        <v>10</v>
      </c>
      <c r="K5" s="112">
        <v>50</v>
      </c>
      <c r="L5" s="114"/>
      <c r="M5" s="114" t="s">
        <v>20</v>
      </c>
      <c r="N5" s="1">
        <v>12610</v>
      </c>
      <c r="P5" s="1">
        <v>349</v>
      </c>
      <c r="Q5" s="1">
        <v>1338</v>
      </c>
      <c r="R5" s="1">
        <v>19</v>
      </c>
    </row>
    <row r="6" spans="1:22" ht="12.75">
      <c r="A6" s="114" t="s">
        <v>21</v>
      </c>
      <c r="B6" s="167" t="s">
        <v>1035</v>
      </c>
      <c r="C6" s="112">
        <v>4</v>
      </c>
      <c r="D6" s="127">
        <f t="shared" si="0"/>
        <v>4.2</v>
      </c>
      <c r="E6" s="114" t="s">
        <v>692</v>
      </c>
      <c r="F6" s="112" t="s">
        <v>1143</v>
      </c>
      <c r="G6" s="112">
        <v>1</v>
      </c>
      <c r="H6" s="111">
        <v>10</v>
      </c>
      <c r="I6" s="112">
        <v>200</v>
      </c>
      <c r="J6" s="112">
        <v>10</v>
      </c>
      <c r="K6" s="112">
        <v>50</v>
      </c>
      <c r="L6" s="114"/>
      <c r="M6" s="114" t="s">
        <v>21</v>
      </c>
      <c r="N6" s="1">
        <v>12170</v>
      </c>
      <c r="O6" s="1"/>
      <c r="P6" s="1">
        <v>342</v>
      </c>
      <c r="Q6" s="1">
        <v>1296</v>
      </c>
      <c r="R6" s="1"/>
    </row>
    <row r="7" spans="1:22" ht="12.75">
      <c r="A7" s="114" t="s">
        <v>22</v>
      </c>
      <c r="B7" s="167" t="s">
        <v>1035</v>
      </c>
      <c r="C7" s="112">
        <v>4</v>
      </c>
      <c r="D7" s="127">
        <f t="shared" si="0"/>
        <v>4.2</v>
      </c>
      <c r="E7" s="114" t="s">
        <v>692</v>
      </c>
      <c r="F7" s="112" t="s">
        <v>1143</v>
      </c>
      <c r="G7" s="112">
        <v>1</v>
      </c>
      <c r="H7" s="111">
        <v>10</v>
      </c>
      <c r="I7" s="112">
        <v>200</v>
      </c>
      <c r="J7" s="112">
        <v>10</v>
      </c>
      <c r="K7" s="112">
        <v>50</v>
      </c>
      <c r="L7" s="114"/>
      <c r="M7" s="114" t="s">
        <v>22</v>
      </c>
      <c r="N7" s="1">
        <v>12089</v>
      </c>
      <c r="O7" s="1"/>
      <c r="P7" s="1">
        <v>342</v>
      </c>
      <c r="Q7" s="1">
        <v>1291</v>
      </c>
      <c r="R7" s="1"/>
    </row>
    <row r="8" spans="1:22" ht="12.75">
      <c r="A8" s="110" t="s">
        <v>23</v>
      </c>
      <c r="B8" s="167" t="s">
        <v>591</v>
      </c>
      <c r="C8" s="112">
        <v>4</v>
      </c>
      <c r="D8" s="127">
        <f t="shared" si="0"/>
        <v>4.2</v>
      </c>
      <c r="E8" s="114" t="s">
        <v>692</v>
      </c>
      <c r="F8" s="112" t="s">
        <v>1144</v>
      </c>
      <c r="G8" s="112">
        <v>1</v>
      </c>
      <c r="H8" s="111">
        <v>10</v>
      </c>
      <c r="I8" s="112">
        <v>200</v>
      </c>
      <c r="J8" s="112">
        <v>10</v>
      </c>
      <c r="K8" s="112">
        <v>50</v>
      </c>
      <c r="L8" s="110"/>
      <c r="M8" s="110" t="s">
        <v>23</v>
      </c>
      <c r="N8" s="1">
        <v>12791</v>
      </c>
      <c r="P8" s="1">
        <v>358</v>
      </c>
      <c r="Q8" s="1">
        <v>1105</v>
      </c>
      <c r="R8" s="1">
        <v>95</v>
      </c>
    </row>
    <row r="9" spans="1:22" ht="12.75">
      <c r="A9" s="110" t="s">
        <v>24</v>
      </c>
      <c r="B9" s="167" t="s">
        <v>591</v>
      </c>
      <c r="C9" s="112">
        <v>4</v>
      </c>
      <c r="D9" s="127">
        <f t="shared" si="0"/>
        <v>4.2</v>
      </c>
      <c r="E9" s="114" t="s">
        <v>692</v>
      </c>
      <c r="F9" s="112" t="s">
        <v>1144</v>
      </c>
      <c r="G9" s="112">
        <v>1</v>
      </c>
      <c r="H9" s="111">
        <v>10</v>
      </c>
      <c r="I9" s="112">
        <v>200</v>
      </c>
      <c r="J9" s="112">
        <v>10</v>
      </c>
      <c r="K9" s="112">
        <v>50</v>
      </c>
      <c r="L9" s="110"/>
      <c r="M9" s="110" t="s">
        <v>24</v>
      </c>
      <c r="N9" s="1">
        <v>12842</v>
      </c>
      <c r="P9" s="1">
        <v>371</v>
      </c>
      <c r="Q9" s="1">
        <v>1063</v>
      </c>
      <c r="R9" s="1">
        <v>87</v>
      </c>
    </row>
    <row r="10" spans="1:22" ht="12.75">
      <c r="A10" s="110" t="s">
        <v>25</v>
      </c>
      <c r="B10" s="167" t="s">
        <v>591</v>
      </c>
      <c r="C10" s="112">
        <v>4</v>
      </c>
      <c r="D10" s="127">
        <f t="shared" si="0"/>
        <v>4.2</v>
      </c>
      <c r="E10" s="114" t="s">
        <v>692</v>
      </c>
      <c r="F10" s="112" t="s">
        <v>1144</v>
      </c>
      <c r="G10" s="112">
        <v>1</v>
      </c>
      <c r="H10" s="111">
        <v>10</v>
      </c>
      <c r="I10" s="112">
        <v>200</v>
      </c>
      <c r="J10" s="112">
        <v>10</v>
      </c>
      <c r="K10" s="112">
        <v>50</v>
      </c>
      <c r="L10" s="110"/>
      <c r="M10" s="110" t="s">
        <v>25</v>
      </c>
      <c r="N10" s="1">
        <v>12684</v>
      </c>
      <c r="P10" s="1">
        <v>355</v>
      </c>
      <c r="Q10" s="1">
        <v>1084</v>
      </c>
      <c r="R10" s="1">
        <v>92</v>
      </c>
    </row>
    <row r="11" spans="1:22" ht="12.75">
      <c r="A11" s="110" t="s">
        <v>26</v>
      </c>
      <c r="B11" s="167" t="s">
        <v>1035</v>
      </c>
      <c r="C11" s="112">
        <v>4</v>
      </c>
      <c r="D11" s="127">
        <f t="shared" si="0"/>
        <v>4.2</v>
      </c>
      <c r="E11" s="114" t="s">
        <v>692</v>
      </c>
      <c r="F11" s="112" t="s">
        <v>1144</v>
      </c>
      <c r="G11" s="112">
        <v>1</v>
      </c>
      <c r="H11" s="111">
        <v>10</v>
      </c>
      <c r="I11" s="112">
        <v>200</v>
      </c>
      <c r="J11" s="112">
        <v>10</v>
      </c>
      <c r="K11" s="112">
        <v>50</v>
      </c>
      <c r="L11" s="110"/>
      <c r="M11" s="110" t="s">
        <v>26</v>
      </c>
      <c r="N11" s="1">
        <v>12008</v>
      </c>
      <c r="O11" s="1"/>
      <c r="P11" s="1">
        <v>350</v>
      </c>
      <c r="Q11" s="1">
        <v>1218</v>
      </c>
      <c r="R11" s="1">
        <v>40</v>
      </c>
    </row>
    <row r="12" spans="1:22" ht="12.75">
      <c r="A12" s="110" t="s">
        <v>27</v>
      </c>
      <c r="B12" s="167" t="s">
        <v>1035</v>
      </c>
      <c r="C12" s="112">
        <v>4</v>
      </c>
      <c r="D12" s="127">
        <f t="shared" si="0"/>
        <v>4.2</v>
      </c>
      <c r="E12" s="114" t="s">
        <v>692</v>
      </c>
      <c r="F12" s="112" t="s">
        <v>1144</v>
      </c>
      <c r="G12" s="112">
        <v>1</v>
      </c>
      <c r="H12" s="111">
        <v>10</v>
      </c>
      <c r="I12" s="112">
        <v>200</v>
      </c>
      <c r="J12" s="112">
        <v>10</v>
      </c>
      <c r="K12" s="112">
        <v>50</v>
      </c>
      <c r="L12" s="110"/>
      <c r="M12" s="110" t="s">
        <v>27</v>
      </c>
      <c r="N12" s="1">
        <v>11827</v>
      </c>
      <c r="O12" s="1"/>
      <c r="P12" s="1">
        <v>347</v>
      </c>
      <c r="Q12" s="1">
        <v>1207</v>
      </c>
      <c r="R12" s="1">
        <v>39</v>
      </c>
    </row>
    <row r="13" spans="1:22" ht="12.75">
      <c r="A13" s="110" t="s">
        <v>28</v>
      </c>
      <c r="B13" s="167" t="s">
        <v>1035</v>
      </c>
      <c r="C13" s="112">
        <v>4</v>
      </c>
      <c r="D13" s="127">
        <f t="shared" si="0"/>
        <v>4.2</v>
      </c>
      <c r="E13" s="114" t="s">
        <v>692</v>
      </c>
      <c r="F13" s="112" t="s">
        <v>1144</v>
      </c>
      <c r="G13" s="112">
        <v>1</v>
      </c>
      <c r="H13" s="111">
        <v>10</v>
      </c>
      <c r="I13" s="112">
        <v>200</v>
      </c>
      <c r="J13" s="112">
        <v>10</v>
      </c>
      <c r="K13" s="112">
        <v>50</v>
      </c>
      <c r="L13" s="110"/>
      <c r="M13" s="110" t="s">
        <v>28</v>
      </c>
      <c r="N13" s="1">
        <v>11816</v>
      </c>
      <c r="O13" s="1"/>
      <c r="P13" s="1">
        <v>351</v>
      </c>
      <c r="Q13" s="1">
        <v>1208</v>
      </c>
      <c r="R13" s="1">
        <v>48</v>
      </c>
    </row>
    <row r="14" spans="1:22" ht="12.75">
      <c r="A14" s="110" t="s">
        <v>29</v>
      </c>
      <c r="B14" s="167" t="s">
        <v>591</v>
      </c>
      <c r="C14" s="112">
        <v>4</v>
      </c>
      <c r="D14" s="127">
        <f t="shared" si="0"/>
        <v>4.2</v>
      </c>
      <c r="E14" s="114" t="s">
        <v>692</v>
      </c>
      <c r="F14" s="112" t="s">
        <v>1145</v>
      </c>
      <c r="G14" s="112">
        <v>1</v>
      </c>
      <c r="H14" s="111">
        <v>10</v>
      </c>
      <c r="I14" s="112">
        <v>200</v>
      </c>
      <c r="J14" s="112">
        <v>10</v>
      </c>
      <c r="K14" s="112">
        <v>50</v>
      </c>
      <c r="L14" s="110"/>
      <c r="M14" s="110" t="s">
        <v>29</v>
      </c>
      <c r="N14" s="1">
        <v>12832</v>
      </c>
      <c r="P14" s="1">
        <v>383</v>
      </c>
      <c r="Q14" s="1">
        <v>859</v>
      </c>
      <c r="R14" s="1">
        <v>164</v>
      </c>
    </row>
    <row r="15" spans="1:22" ht="12.75">
      <c r="A15" s="110" t="s">
        <v>30</v>
      </c>
      <c r="B15" s="167" t="s">
        <v>591</v>
      </c>
      <c r="C15" s="112">
        <v>4</v>
      </c>
      <c r="D15" s="127">
        <f t="shared" si="0"/>
        <v>4.2</v>
      </c>
      <c r="E15" s="114" t="s">
        <v>692</v>
      </c>
      <c r="F15" s="112" t="s">
        <v>1145</v>
      </c>
      <c r="G15" s="112">
        <v>1</v>
      </c>
      <c r="H15" s="111">
        <v>10</v>
      </c>
      <c r="I15" s="112">
        <v>200</v>
      </c>
      <c r="J15" s="112">
        <v>10</v>
      </c>
      <c r="K15" s="112">
        <v>50</v>
      </c>
      <c r="L15" s="110"/>
      <c r="M15" s="110" t="s">
        <v>30</v>
      </c>
      <c r="N15" s="1">
        <v>12982</v>
      </c>
      <c r="P15" s="1">
        <v>379</v>
      </c>
      <c r="Q15" s="1">
        <v>929</v>
      </c>
      <c r="R15" s="1">
        <v>123</v>
      </c>
    </row>
    <row r="16" spans="1:22" ht="12.75">
      <c r="A16" s="110" t="s">
        <v>31</v>
      </c>
      <c r="B16" s="167" t="s">
        <v>591</v>
      </c>
      <c r="C16" s="112">
        <v>4</v>
      </c>
      <c r="D16" s="127">
        <f t="shared" si="0"/>
        <v>4.2</v>
      </c>
      <c r="E16" s="114" t="s">
        <v>692</v>
      </c>
      <c r="F16" s="112" t="s">
        <v>1145</v>
      </c>
      <c r="G16" s="112">
        <v>1</v>
      </c>
      <c r="H16" s="111">
        <v>10</v>
      </c>
      <c r="I16" s="112">
        <v>200</v>
      </c>
      <c r="J16" s="112">
        <v>10</v>
      </c>
      <c r="K16" s="112">
        <v>50</v>
      </c>
      <c r="L16" s="110"/>
      <c r="M16" s="110" t="s">
        <v>31</v>
      </c>
      <c r="N16" s="1">
        <v>12264</v>
      </c>
      <c r="P16" s="1">
        <v>375</v>
      </c>
      <c r="Q16" s="1">
        <v>938</v>
      </c>
      <c r="R16" s="1">
        <v>123</v>
      </c>
    </row>
    <row r="17" spans="1:19" ht="12.75">
      <c r="A17" s="110" t="s">
        <v>32</v>
      </c>
      <c r="B17" s="167" t="s">
        <v>1035</v>
      </c>
      <c r="C17" s="112">
        <v>4</v>
      </c>
      <c r="D17" s="127">
        <f t="shared" si="0"/>
        <v>4.2</v>
      </c>
      <c r="E17" s="114" t="s">
        <v>692</v>
      </c>
      <c r="F17" s="112" t="s">
        <v>1145</v>
      </c>
      <c r="G17" s="112">
        <v>1</v>
      </c>
      <c r="H17" s="111">
        <v>10</v>
      </c>
      <c r="I17" s="112">
        <v>200</v>
      </c>
      <c r="J17" s="112">
        <v>10</v>
      </c>
      <c r="K17" s="112">
        <v>50</v>
      </c>
      <c r="L17" s="110"/>
      <c r="M17" s="110" t="s">
        <v>32</v>
      </c>
      <c r="N17" s="1">
        <v>11798</v>
      </c>
      <c r="P17" s="1">
        <v>365</v>
      </c>
      <c r="Q17" s="1">
        <v>1170</v>
      </c>
      <c r="R17" s="1">
        <v>49</v>
      </c>
    </row>
    <row r="18" spans="1:19" ht="12.75">
      <c r="A18" s="110" t="s">
        <v>34</v>
      </c>
      <c r="B18" s="167" t="s">
        <v>1035</v>
      </c>
      <c r="C18" s="112">
        <v>4</v>
      </c>
      <c r="D18" s="127">
        <f t="shared" si="0"/>
        <v>4.2</v>
      </c>
      <c r="E18" s="114" t="s">
        <v>692</v>
      </c>
      <c r="F18" s="112" t="s">
        <v>1145</v>
      </c>
      <c r="G18" s="112">
        <v>1</v>
      </c>
      <c r="H18" s="111">
        <v>10</v>
      </c>
      <c r="I18" s="112">
        <v>200</v>
      </c>
      <c r="J18" s="112">
        <v>10</v>
      </c>
      <c r="K18" s="112">
        <v>50</v>
      </c>
      <c r="L18" s="110"/>
      <c r="M18" s="110" t="s">
        <v>34</v>
      </c>
      <c r="N18" s="1">
        <v>11743</v>
      </c>
      <c r="P18" s="1">
        <v>363</v>
      </c>
      <c r="Q18" s="1">
        <v>1159</v>
      </c>
      <c r="R18" s="1">
        <v>64</v>
      </c>
    </row>
    <row r="19" spans="1:19" ht="12.75">
      <c r="A19" s="110" t="s">
        <v>36</v>
      </c>
      <c r="B19" s="167" t="s">
        <v>1035</v>
      </c>
      <c r="C19" s="112">
        <v>4</v>
      </c>
      <c r="D19" s="127">
        <f t="shared" si="0"/>
        <v>4.2</v>
      </c>
      <c r="E19" s="114" t="s">
        <v>692</v>
      </c>
      <c r="F19" s="112" t="s">
        <v>1145</v>
      </c>
      <c r="G19" s="112">
        <v>1</v>
      </c>
      <c r="H19" s="111">
        <v>10</v>
      </c>
      <c r="I19" s="112">
        <v>200</v>
      </c>
      <c r="J19" s="112">
        <v>10</v>
      </c>
      <c r="K19" s="112">
        <v>50</v>
      </c>
      <c r="L19" s="110"/>
      <c r="M19" s="110" t="s">
        <v>36</v>
      </c>
      <c r="N19" s="1">
        <v>11666</v>
      </c>
      <c r="P19" s="1">
        <v>369</v>
      </c>
      <c r="Q19" s="1">
        <v>1166</v>
      </c>
      <c r="R19" s="1">
        <v>61</v>
      </c>
    </row>
    <row r="20" spans="1:19" ht="12.75">
      <c r="A20" s="110" t="s">
        <v>1146</v>
      </c>
      <c r="B20" s="167" t="s">
        <v>591</v>
      </c>
      <c r="C20" s="112">
        <v>4</v>
      </c>
      <c r="D20" s="127">
        <f t="shared" si="0"/>
        <v>4.2</v>
      </c>
      <c r="E20" s="114" t="s">
        <v>692</v>
      </c>
      <c r="F20" s="8" t="s">
        <v>1147</v>
      </c>
      <c r="G20" s="112">
        <v>1</v>
      </c>
      <c r="H20" s="111">
        <v>10</v>
      </c>
      <c r="I20" s="112">
        <v>200</v>
      </c>
      <c r="J20" s="112">
        <v>10</v>
      </c>
      <c r="K20" s="112">
        <v>50</v>
      </c>
      <c r="L20" s="110"/>
      <c r="M20" s="110" t="s">
        <v>1146</v>
      </c>
      <c r="N20" s="1">
        <v>13087</v>
      </c>
      <c r="P20" s="1">
        <v>398</v>
      </c>
      <c r="Q20" s="1">
        <v>815</v>
      </c>
      <c r="R20" s="1">
        <v>183</v>
      </c>
    </row>
    <row r="21" spans="1:19" ht="12.75">
      <c r="A21" s="110" t="s">
        <v>782</v>
      </c>
      <c r="B21" s="167" t="s">
        <v>591</v>
      </c>
      <c r="C21" s="112">
        <v>4</v>
      </c>
      <c r="D21" s="127">
        <f t="shared" si="0"/>
        <v>4.2</v>
      </c>
      <c r="E21" s="114" t="s">
        <v>692</v>
      </c>
      <c r="F21" s="8" t="s">
        <v>1147</v>
      </c>
      <c r="G21" s="112">
        <v>1</v>
      </c>
      <c r="H21" s="111">
        <v>10</v>
      </c>
      <c r="I21" s="112">
        <v>200</v>
      </c>
      <c r="J21" s="112">
        <v>10</v>
      </c>
      <c r="K21" s="112">
        <v>50</v>
      </c>
      <c r="L21" s="110"/>
      <c r="M21" s="110" t="s">
        <v>782</v>
      </c>
      <c r="N21" s="1">
        <v>13069</v>
      </c>
      <c r="P21" s="1">
        <v>411</v>
      </c>
      <c r="Q21" s="1">
        <v>771</v>
      </c>
      <c r="R21" s="1">
        <v>189</v>
      </c>
    </row>
    <row r="22" spans="1:19" ht="12.75">
      <c r="A22" s="110" t="s">
        <v>42</v>
      </c>
      <c r="B22" s="167" t="s">
        <v>591</v>
      </c>
      <c r="C22" s="112">
        <v>4</v>
      </c>
      <c r="D22" s="127">
        <f t="shared" si="0"/>
        <v>4.2</v>
      </c>
      <c r="E22" s="114" t="s">
        <v>692</v>
      </c>
      <c r="F22" s="8" t="s">
        <v>1147</v>
      </c>
      <c r="G22" s="1">
        <v>2</v>
      </c>
      <c r="H22" s="111">
        <v>10</v>
      </c>
      <c r="I22" s="112">
        <v>200</v>
      </c>
      <c r="J22" s="112">
        <v>10</v>
      </c>
      <c r="K22" s="112">
        <v>50</v>
      </c>
      <c r="L22" s="110"/>
      <c r="M22" s="110" t="s">
        <v>42</v>
      </c>
      <c r="N22" s="1">
        <v>13072</v>
      </c>
      <c r="P22" s="1">
        <v>422</v>
      </c>
      <c r="Q22" s="1">
        <v>771</v>
      </c>
      <c r="R22" s="1">
        <v>193</v>
      </c>
    </row>
    <row r="23" spans="1:19" ht="12.75">
      <c r="A23" s="110" t="s">
        <v>400</v>
      </c>
      <c r="B23" s="167" t="s">
        <v>1035</v>
      </c>
      <c r="C23" s="112">
        <v>4</v>
      </c>
      <c r="D23" s="127">
        <f t="shared" si="0"/>
        <v>4.2</v>
      </c>
      <c r="E23" s="114" t="s">
        <v>692</v>
      </c>
      <c r="F23" s="8" t="s">
        <v>1147</v>
      </c>
      <c r="G23" s="1">
        <v>2</v>
      </c>
      <c r="H23" s="111">
        <v>10</v>
      </c>
      <c r="I23" s="112">
        <v>200</v>
      </c>
      <c r="J23" s="112">
        <v>10</v>
      </c>
      <c r="K23" s="112">
        <v>50</v>
      </c>
      <c r="L23" s="110"/>
      <c r="M23" s="110" t="s">
        <v>400</v>
      </c>
      <c r="N23" s="1">
        <v>11500</v>
      </c>
      <c r="P23" s="1">
        <v>376</v>
      </c>
      <c r="Q23" s="1">
        <v>1096</v>
      </c>
      <c r="R23" s="1">
        <v>73</v>
      </c>
    </row>
    <row r="24" spans="1:19" ht="12.75">
      <c r="A24" s="110" t="s">
        <v>401</v>
      </c>
      <c r="B24" s="167" t="s">
        <v>1035</v>
      </c>
      <c r="C24" s="112">
        <v>4</v>
      </c>
      <c r="D24" s="127">
        <f t="shared" si="0"/>
        <v>4.2</v>
      </c>
      <c r="E24" s="114" t="s">
        <v>692</v>
      </c>
      <c r="F24" s="8" t="s">
        <v>1147</v>
      </c>
      <c r="G24" s="1">
        <v>2</v>
      </c>
      <c r="H24" s="111">
        <v>10</v>
      </c>
      <c r="I24" s="112">
        <v>200</v>
      </c>
      <c r="J24" s="112">
        <v>10</v>
      </c>
      <c r="K24" s="112">
        <v>50</v>
      </c>
      <c r="L24" s="110"/>
      <c r="M24" s="110" t="s">
        <v>401</v>
      </c>
      <c r="N24" s="1">
        <v>11711</v>
      </c>
      <c r="P24" s="1">
        <v>377</v>
      </c>
      <c r="Q24" s="1">
        <v>1118</v>
      </c>
      <c r="R24" s="1">
        <v>60</v>
      </c>
    </row>
    <row r="25" spans="1:19" ht="12.75">
      <c r="A25" s="1" t="s">
        <v>402</v>
      </c>
      <c r="B25" s="167" t="s">
        <v>1035</v>
      </c>
      <c r="C25" s="112">
        <v>4</v>
      </c>
      <c r="D25" s="127">
        <f t="shared" si="0"/>
        <v>4.2</v>
      </c>
      <c r="E25" s="114" t="s">
        <v>692</v>
      </c>
      <c r="F25" s="8" t="s">
        <v>1147</v>
      </c>
      <c r="G25" s="1">
        <v>3</v>
      </c>
      <c r="H25" s="111">
        <v>10</v>
      </c>
      <c r="I25" s="112">
        <v>200</v>
      </c>
      <c r="J25" s="112">
        <v>10</v>
      </c>
      <c r="K25" s="112">
        <v>50</v>
      </c>
      <c r="L25" s="1"/>
      <c r="M25" s="1" t="s">
        <v>402</v>
      </c>
      <c r="N25" s="1">
        <v>11538</v>
      </c>
      <c r="P25" s="1">
        <v>390</v>
      </c>
      <c r="Q25" s="1">
        <v>1103</v>
      </c>
      <c r="R25" s="1">
        <v>72</v>
      </c>
    </row>
    <row r="26" spans="1:19" ht="12.75">
      <c r="A26" s="1" t="s">
        <v>403</v>
      </c>
      <c r="B26" s="167" t="s">
        <v>591</v>
      </c>
      <c r="C26" s="112">
        <v>4</v>
      </c>
      <c r="D26" s="127">
        <f t="shared" si="0"/>
        <v>4.2</v>
      </c>
      <c r="E26" s="114" t="s">
        <v>692</v>
      </c>
      <c r="F26" s="112">
        <v>3.75</v>
      </c>
      <c r="G26" s="1">
        <v>3</v>
      </c>
      <c r="H26" s="111">
        <v>10</v>
      </c>
      <c r="I26" s="112">
        <v>200</v>
      </c>
      <c r="J26" s="112">
        <v>10</v>
      </c>
      <c r="K26" s="112">
        <v>50</v>
      </c>
      <c r="L26" s="1"/>
      <c r="M26" s="1" t="s">
        <v>403</v>
      </c>
      <c r="N26" s="1">
        <v>13063</v>
      </c>
      <c r="P26" s="1">
        <v>463</v>
      </c>
      <c r="Q26" s="1">
        <v>557</v>
      </c>
      <c r="R26" s="1">
        <v>255</v>
      </c>
    </row>
    <row r="27" spans="1:19" ht="12.75">
      <c r="A27" s="1" t="s">
        <v>407</v>
      </c>
      <c r="B27" s="167" t="s">
        <v>591</v>
      </c>
      <c r="C27" s="112">
        <v>4</v>
      </c>
      <c r="D27" s="127">
        <f t="shared" si="0"/>
        <v>4.2</v>
      </c>
      <c r="E27" s="114" t="s">
        <v>692</v>
      </c>
      <c r="F27" s="112">
        <v>3.75</v>
      </c>
      <c r="G27" s="1">
        <v>3</v>
      </c>
      <c r="H27" s="111">
        <v>10</v>
      </c>
      <c r="I27" s="112">
        <v>200</v>
      </c>
      <c r="J27" s="112">
        <v>10</v>
      </c>
      <c r="K27" s="112">
        <v>50</v>
      </c>
      <c r="L27" s="1"/>
      <c r="M27" s="1" t="s">
        <v>407</v>
      </c>
      <c r="N27" s="1">
        <v>13294</v>
      </c>
      <c r="P27" s="1">
        <v>412</v>
      </c>
      <c r="Q27" s="1">
        <v>636</v>
      </c>
      <c r="R27" s="1">
        <v>229</v>
      </c>
    </row>
    <row r="28" spans="1:19" ht="12.75">
      <c r="A28" s="1" t="s">
        <v>408</v>
      </c>
      <c r="B28" s="167" t="s">
        <v>591</v>
      </c>
      <c r="C28" s="112">
        <v>4</v>
      </c>
      <c r="D28" s="127">
        <f t="shared" si="0"/>
        <v>4.2</v>
      </c>
      <c r="E28" s="114" t="s">
        <v>692</v>
      </c>
      <c r="F28" s="112">
        <v>3.75</v>
      </c>
      <c r="G28" s="1">
        <v>3</v>
      </c>
      <c r="H28" s="111">
        <v>10</v>
      </c>
      <c r="I28" s="112">
        <v>200</v>
      </c>
      <c r="J28" s="112">
        <v>10</v>
      </c>
      <c r="K28" s="112">
        <v>50</v>
      </c>
      <c r="L28" s="1"/>
      <c r="M28" s="1" t="s">
        <v>408</v>
      </c>
      <c r="N28" s="1">
        <v>12427</v>
      </c>
      <c r="P28" s="1">
        <v>437</v>
      </c>
      <c r="Q28" s="1">
        <v>603</v>
      </c>
      <c r="R28" s="1">
        <v>193</v>
      </c>
    </row>
    <row r="29" spans="1:19" ht="12.75">
      <c r="A29" s="1" t="s">
        <v>1148</v>
      </c>
      <c r="B29" s="167" t="s">
        <v>1035</v>
      </c>
      <c r="C29" s="112">
        <v>4</v>
      </c>
      <c r="D29" s="127">
        <f t="shared" si="0"/>
        <v>4.2</v>
      </c>
      <c r="E29" s="114" t="s">
        <v>692</v>
      </c>
      <c r="F29" s="112">
        <v>3.75</v>
      </c>
      <c r="G29" s="1">
        <v>3</v>
      </c>
      <c r="H29" s="111">
        <v>10</v>
      </c>
      <c r="I29" s="112">
        <v>200</v>
      </c>
      <c r="J29" s="112">
        <v>10</v>
      </c>
      <c r="K29" s="112">
        <v>50</v>
      </c>
      <c r="L29" s="1"/>
      <c r="M29" s="1" t="s">
        <v>1148</v>
      </c>
      <c r="N29" s="1">
        <v>11729</v>
      </c>
      <c r="P29" s="1">
        <v>412</v>
      </c>
      <c r="Q29" s="1">
        <v>1086</v>
      </c>
      <c r="R29" s="1">
        <v>91</v>
      </c>
    </row>
    <row r="30" spans="1:19" ht="12.75">
      <c r="A30" s="1" t="s">
        <v>1149</v>
      </c>
      <c r="B30" s="167" t="s">
        <v>1035</v>
      </c>
      <c r="C30" s="112">
        <v>4</v>
      </c>
      <c r="D30" s="127">
        <f t="shared" si="0"/>
        <v>4.2</v>
      </c>
      <c r="E30" s="114" t="s">
        <v>692</v>
      </c>
      <c r="F30" s="112">
        <v>3.75</v>
      </c>
      <c r="G30" s="1">
        <v>3</v>
      </c>
      <c r="H30" s="111">
        <v>10</v>
      </c>
      <c r="I30" s="112">
        <v>200</v>
      </c>
      <c r="J30" s="112">
        <v>10</v>
      </c>
      <c r="K30" s="112">
        <v>50</v>
      </c>
      <c r="L30" s="1"/>
      <c r="M30" s="1" t="s">
        <v>1149</v>
      </c>
      <c r="N30" s="1">
        <v>11681</v>
      </c>
      <c r="P30" s="1">
        <v>409</v>
      </c>
      <c r="Q30" s="1">
        <v>1087</v>
      </c>
      <c r="R30" s="1">
        <v>89</v>
      </c>
    </row>
    <row r="31" spans="1:19" ht="12.75">
      <c r="A31" s="1" t="s">
        <v>1150</v>
      </c>
      <c r="B31" s="167" t="s">
        <v>1035</v>
      </c>
      <c r="C31" s="112">
        <v>4</v>
      </c>
      <c r="D31" s="127">
        <f t="shared" si="0"/>
        <v>4.2</v>
      </c>
      <c r="E31" s="114" t="s">
        <v>692</v>
      </c>
      <c r="F31" s="112">
        <v>3.75</v>
      </c>
      <c r="G31" s="1">
        <v>3</v>
      </c>
      <c r="H31" s="111">
        <v>10</v>
      </c>
      <c r="I31" s="112">
        <v>200</v>
      </c>
      <c r="J31" s="112">
        <v>10</v>
      </c>
      <c r="K31" s="112">
        <v>50</v>
      </c>
      <c r="L31" s="1"/>
      <c r="M31" s="1" t="s">
        <v>1150</v>
      </c>
      <c r="N31" s="1">
        <v>11688</v>
      </c>
      <c r="P31" s="1">
        <v>417</v>
      </c>
      <c r="Q31" s="1">
        <v>1094</v>
      </c>
      <c r="R31" s="1">
        <v>71</v>
      </c>
    </row>
    <row r="32" spans="1:19" ht="12.75">
      <c r="B32" s="114" t="s">
        <v>300</v>
      </c>
      <c r="C32" s="127">
        <f>SUM(C2:C31)</f>
        <v>120</v>
      </c>
      <c r="E32" s="1"/>
      <c r="H32" s="1" t="s">
        <v>1039</v>
      </c>
      <c r="I32">
        <f>SUM(I2:I31)</f>
        <v>6000</v>
      </c>
      <c r="N32" s="1"/>
      <c r="O32" s="1"/>
      <c r="P32" s="1"/>
      <c r="R32" s="1"/>
      <c r="S32" s="1"/>
    </row>
    <row r="33" spans="1:22" ht="12.75">
      <c r="A33" s="125" t="s">
        <v>1040</v>
      </c>
      <c r="B33" s="1" t="s">
        <v>1041</v>
      </c>
      <c r="I33" s="125" t="s">
        <v>968</v>
      </c>
      <c r="J33" s="114"/>
      <c r="K33" s="114"/>
      <c r="O33" s="1"/>
      <c r="P33" s="1"/>
      <c r="S33" s="1"/>
    </row>
    <row r="34" spans="1:22" ht="12.75">
      <c r="A34" s="1" t="s">
        <v>1151</v>
      </c>
      <c r="I34" s="114" t="s">
        <v>970</v>
      </c>
      <c r="J34" s="114" t="s">
        <v>47</v>
      </c>
      <c r="K34" s="114" t="s">
        <v>300</v>
      </c>
      <c r="O34" s="1"/>
      <c r="P34" s="1"/>
      <c r="S34" s="1"/>
    </row>
    <row r="35" spans="1:22" ht="12.75">
      <c r="A35" s="1" t="s">
        <v>1152</v>
      </c>
      <c r="H35" s="1"/>
      <c r="I35" s="128" t="s">
        <v>1044</v>
      </c>
      <c r="J35" s="126">
        <v>0.3</v>
      </c>
      <c r="O35" s="1"/>
      <c r="P35" s="1"/>
      <c r="S35" s="1"/>
    </row>
    <row r="36" spans="1:22" ht="12.75">
      <c r="A36" s="1" t="s">
        <v>1153</v>
      </c>
      <c r="I36" s="112">
        <v>2000</v>
      </c>
      <c r="J36" s="127">
        <f>I36/J35-I36</f>
        <v>4666.666666666667</v>
      </c>
      <c r="K36" s="127">
        <f>SUM(I36:J36)</f>
        <v>6666.666666666667</v>
      </c>
      <c r="O36" s="1"/>
      <c r="P36" s="1"/>
      <c r="R36" s="1"/>
      <c r="S36" s="1"/>
    </row>
    <row r="37" spans="1:22" ht="12.75">
      <c r="A37" s="1" t="s">
        <v>1154</v>
      </c>
      <c r="H37" s="1"/>
      <c r="I37" s="168"/>
      <c r="J37" s="112"/>
      <c r="K37" s="127"/>
      <c r="O37" s="1"/>
      <c r="P37" s="1"/>
      <c r="R37" s="1"/>
      <c r="S37" s="1"/>
    </row>
    <row r="38" spans="1:22" ht="12.75">
      <c r="A38" s="1" t="s">
        <v>1155</v>
      </c>
      <c r="I38" s="112"/>
      <c r="J38" s="127"/>
      <c r="K38" s="127"/>
      <c r="L38" s="1"/>
      <c r="M38" s="1" t="s">
        <v>816</v>
      </c>
      <c r="N38" s="1" t="s">
        <v>817</v>
      </c>
      <c r="P38" s="1" t="s">
        <v>818</v>
      </c>
      <c r="Q38" s="1" t="s">
        <v>819</v>
      </c>
      <c r="R38" s="1"/>
      <c r="S38" s="1"/>
    </row>
    <row r="39" spans="1:22" ht="12.75">
      <c r="A39" s="1" t="s">
        <v>1156</v>
      </c>
      <c r="H39" s="1"/>
      <c r="I39" s="5"/>
      <c r="J39" s="1"/>
      <c r="L39" s="1"/>
      <c r="M39" s="1">
        <v>1</v>
      </c>
      <c r="N39" s="1">
        <v>1</v>
      </c>
      <c r="O39" s="1" t="s">
        <v>820</v>
      </c>
      <c r="P39" s="1">
        <v>38.299999999999997</v>
      </c>
      <c r="Q39" s="1"/>
      <c r="R39" s="1"/>
      <c r="S39" s="1"/>
    </row>
    <row r="40" spans="1:22" ht="12.75">
      <c r="A40" s="1" t="s">
        <v>1157</v>
      </c>
      <c r="I40" s="112"/>
      <c r="J40" s="127"/>
      <c r="K40" s="127"/>
      <c r="M40">
        <f t="shared" ref="M40:M87" si="1">M39+1</f>
        <v>2</v>
      </c>
      <c r="N40" s="1">
        <v>2</v>
      </c>
      <c r="O40" s="1" t="s">
        <v>821</v>
      </c>
      <c r="P40" s="1">
        <v>339.3</v>
      </c>
      <c r="Q40" s="1">
        <v>16.2</v>
      </c>
      <c r="R40" s="1"/>
      <c r="S40" s="1"/>
    </row>
    <row r="41" spans="1:22" ht="12.75">
      <c r="A41" s="1"/>
      <c r="H41" s="1"/>
      <c r="I41" s="5"/>
      <c r="J41" s="1"/>
      <c r="M41">
        <f t="shared" si="1"/>
        <v>3</v>
      </c>
      <c r="N41" s="1">
        <v>3</v>
      </c>
      <c r="O41" s="1" t="s">
        <v>822</v>
      </c>
      <c r="P41" s="1">
        <v>100</v>
      </c>
      <c r="Q41" s="1">
        <v>119</v>
      </c>
      <c r="R41" s="1"/>
      <c r="S41" s="1"/>
    </row>
    <row r="42" spans="1:22" ht="12.75">
      <c r="I42" s="112"/>
      <c r="J42" s="127"/>
      <c r="K42" s="127"/>
      <c r="M42">
        <f t="shared" si="1"/>
        <v>4</v>
      </c>
      <c r="N42" s="1">
        <v>4</v>
      </c>
      <c r="O42" s="1" t="s">
        <v>823</v>
      </c>
      <c r="P42" s="1">
        <v>38.700000000000003</v>
      </c>
      <c r="Q42" s="1">
        <v>243.4</v>
      </c>
      <c r="R42" s="1"/>
      <c r="S42" s="1"/>
    </row>
    <row r="43" spans="1:22" ht="12.75">
      <c r="M43">
        <f t="shared" si="1"/>
        <v>5</v>
      </c>
      <c r="N43" s="1">
        <v>5</v>
      </c>
      <c r="O43" s="1" t="s">
        <v>692</v>
      </c>
      <c r="P43" s="1">
        <v>20.5</v>
      </c>
      <c r="R43" s="1"/>
      <c r="S43" s="1"/>
    </row>
    <row r="44" spans="1:22" ht="12.75">
      <c r="M44">
        <f t="shared" si="1"/>
        <v>6</v>
      </c>
      <c r="N44" s="1">
        <v>1</v>
      </c>
      <c r="O44" s="1" t="s">
        <v>820</v>
      </c>
      <c r="P44" s="1">
        <v>16.899999999999999</v>
      </c>
      <c r="R44" s="1"/>
      <c r="S44" s="1"/>
    </row>
    <row r="45" spans="1:22" ht="12.75">
      <c r="M45">
        <f t="shared" si="1"/>
        <v>7</v>
      </c>
      <c r="N45" s="1">
        <v>6</v>
      </c>
      <c r="O45" s="125" t="s">
        <v>17</v>
      </c>
      <c r="P45" s="1">
        <v>29.6</v>
      </c>
      <c r="Q45" s="1">
        <v>41.1</v>
      </c>
      <c r="R45" s="1"/>
      <c r="S45" s="1"/>
    </row>
    <row r="46" spans="1:22" ht="12.75">
      <c r="M46">
        <f t="shared" si="1"/>
        <v>8</v>
      </c>
      <c r="N46">
        <f t="shared" ref="N46:N76" si="2">N45+1</f>
        <v>7</v>
      </c>
      <c r="O46" s="125" t="s">
        <v>18</v>
      </c>
      <c r="P46" s="1">
        <v>29.5</v>
      </c>
      <c r="Q46" s="1">
        <v>33</v>
      </c>
      <c r="R46" s="1"/>
      <c r="S46" s="1"/>
    </row>
    <row r="47" spans="1:22" ht="12.75">
      <c r="M47">
        <f t="shared" si="1"/>
        <v>9</v>
      </c>
      <c r="N47">
        <f t="shared" si="2"/>
        <v>8</v>
      </c>
      <c r="O47" s="125" t="s">
        <v>19</v>
      </c>
      <c r="P47" s="1">
        <v>32.299999999999997</v>
      </c>
      <c r="Q47" s="1">
        <v>37.200000000000003</v>
      </c>
      <c r="S47" s="1"/>
      <c r="V47" s="1"/>
    </row>
    <row r="48" spans="1:22" ht="12.75">
      <c r="M48">
        <f t="shared" si="1"/>
        <v>10</v>
      </c>
      <c r="N48">
        <f t="shared" si="2"/>
        <v>9</v>
      </c>
      <c r="O48" s="114" t="s">
        <v>20</v>
      </c>
      <c r="P48" s="1">
        <v>29.3</v>
      </c>
      <c r="Q48" s="1">
        <v>49.7</v>
      </c>
      <c r="R48" s="1"/>
      <c r="S48" s="1"/>
    </row>
    <row r="49" spans="13:19" ht="12.75">
      <c r="M49">
        <f t="shared" si="1"/>
        <v>11</v>
      </c>
      <c r="N49">
        <f t="shared" si="2"/>
        <v>10</v>
      </c>
      <c r="O49" s="114" t="s">
        <v>21</v>
      </c>
      <c r="P49" s="1">
        <v>31</v>
      </c>
      <c r="Q49" s="1">
        <v>49.9</v>
      </c>
      <c r="S49" s="1"/>
    </row>
    <row r="50" spans="13:19" ht="12.75">
      <c r="M50">
        <f t="shared" si="1"/>
        <v>12</v>
      </c>
      <c r="N50">
        <f t="shared" si="2"/>
        <v>11</v>
      </c>
      <c r="O50" s="114" t="s">
        <v>22</v>
      </c>
      <c r="P50" s="1">
        <v>33.5</v>
      </c>
      <c r="Q50" s="1">
        <v>52</v>
      </c>
      <c r="R50" s="1"/>
      <c r="S50" s="1"/>
    </row>
    <row r="51" spans="13:19" ht="12.75">
      <c r="M51">
        <f t="shared" si="1"/>
        <v>13</v>
      </c>
      <c r="N51">
        <f t="shared" si="2"/>
        <v>12</v>
      </c>
      <c r="O51" s="128" t="s">
        <v>23</v>
      </c>
      <c r="P51" s="1">
        <v>36.9</v>
      </c>
      <c r="Q51" s="1">
        <v>60</v>
      </c>
      <c r="S51" s="1"/>
    </row>
    <row r="52" spans="13:19" ht="12.75">
      <c r="M52">
        <f t="shared" si="1"/>
        <v>14</v>
      </c>
      <c r="N52">
        <f t="shared" si="2"/>
        <v>13</v>
      </c>
      <c r="O52" s="128" t="s">
        <v>24</v>
      </c>
      <c r="P52" s="1">
        <v>39.6</v>
      </c>
      <c r="Q52" s="1">
        <v>59.8</v>
      </c>
      <c r="S52" s="1"/>
    </row>
    <row r="53" spans="13:19" ht="12.75">
      <c r="M53">
        <f t="shared" si="1"/>
        <v>15</v>
      </c>
      <c r="N53">
        <f t="shared" si="2"/>
        <v>14</v>
      </c>
      <c r="O53" s="128" t="s">
        <v>25</v>
      </c>
      <c r="P53" s="1">
        <v>39.1</v>
      </c>
      <c r="Q53" s="1">
        <v>54.8</v>
      </c>
      <c r="S53" s="1"/>
    </row>
    <row r="54" spans="13:19" ht="12.75">
      <c r="M54">
        <f t="shared" si="1"/>
        <v>16</v>
      </c>
      <c r="N54">
        <f t="shared" si="2"/>
        <v>15</v>
      </c>
      <c r="O54" s="110" t="s">
        <v>26</v>
      </c>
      <c r="P54" s="1">
        <v>37.5</v>
      </c>
      <c r="Q54" s="1">
        <v>74</v>
      </c>
    </row>
    <row r="55" spans="13:19" ht="12.75">
      <c r="M55">
        <f t="shared" si="1"/>
        <v>17</v>
      </c>
      <c r="N55">
        <f t="shared" si="2"/>
        <v>16</v>
      </c>
      <c r="O55" s="110" t="s">
        <v>27</v>
      </c>
      <c r="P55" s="1">
        <v>38.799999999999997</v>
      </c>
      <c r="Q55" s="1">
        <v>74.900000000000006</v>
      </c>
    </row>
    <row r="56" spans="13:19" ht="12.75">
      <c r="M56">
        <f t="shared" si="1"/>
        <v>18</v>
      </c>
      <c r="N56">
        <f t="shared" si="2"/>
        <v>17</v>
      </c>
      <c r="O56" s="110" t="s">
        <v>28</v>
      </c>
      <c r="P56" s="1">
        <v>39.4</v>
      </c>
      <c r="Q56" s="1">
        <v>74.2</v>
      </c>
      <c r="S56" s="1"/>
    </row>
    <row r="57" spans="13:19" ht="12.75">
      <c r="M57">
        <f t="shared" si="1"/>
        <v>19</v>
      </c>
      <c r="N57">
        <f t="shared" si="2"/>
        <v>18</v>
      </c>
      <c r="O57" s="128" t="s">
        <v>29</v>
      </c>
      <c r="P57" s="1">
        <v>46.2</v>
      </c>
      <c r="Q57" s="1">
        <v>99</v>
      </c>
      <c r="S57" s="1"/>
    </row>
    <row r="58" spans="13:19" ht="12.75">
      <c r="M58">
        <f t="shared" si="1"/>
        <v>20</v>
      </c>
      <c r="N58">
        <f t="shared" si="2"/>
        <v>19</v>
      </c>
      <c r="O58" s="128" t="s">
        <v>30</v>
      </c>
      <c r="P58" s="1">
        <v>46.5</v>
      </c>
      <c r="Q58" s="1">
        <v>83.4</v>
      </c>
      <c r="R58" s="1"/>
    </row>
    <row r="59" spans="13:19" ht="12.75">
      <c r="M59">
        <f t="shared" si="1"/>
        <v>21</v>
      </c>
      <c r="N59">
        <f t="shared" si="2"/>
        <v>20</v>
      </c>
      <c r="O59" s="128" t="s">
        <v>31</v>
      </c>
      <c r="P59" s="1">
        <v>48.3</v>
      </c>
      <c r="Q59" s="1">
        <v>79.099999999999994</v>
      </c>
      <c r="S59" s="1"/>
    </row>
    <row r="60" spans="13:19" ht="12.75">
      <c r="M60">
        <f t="shared" si="1"/>
        <v>22</v>
      </c>
      <c r="N60">
        <f t="shared" si="2"/>
        <v>21</v>
      </c>
      <c r="O60" s="110" t="s">
        <v>32</v>
      </c>
      <c r="P60" s="1">
        <v>43.9</v>
      </c>
      <c r="Q60" s="1">
        <v>89.5</v>
      </c>
    </row>
    <row r="61" spans="13:19" ht="12.75">
      <c r="M61">
        <f t="shared" si="1"/>
        <v>23</v>
      </c>
      <c r="N61">
        <f t="shared" si="2"/>
        <v>22</v>
      </c>
      <c r="O61" s="110" t="s">
        <v>34</v>
      </c>
      <c r="P61" s="1">
        <v>45.4</v>
      </c>
      <c r="Q61" s="1">
        <v>91.5</v>
      </c>
      <c r="S61" s="1"/>
    </row>
    <row r="62" spans="13:19" ht="12.75">
      <c r="M62">
        <f t="shared" si="1"/>
        <v>24</v>
      </c>
      <c r="N62">
        <f t="shared" si="2"/>
        <v>23</v>
      </c>
      <c r="O62" s="110" t="s">
        <v>36</v>
      </c>
      <c r="P62" s="1">
        <v>45</v>
      </c>
      <c r="Q62" s="1">
        <v>91.2</v>
      </c>
      <c r="S62" s="1"/>
    </row>
    <row r="63" spans="13:19" ht="12.75">
      <c r="M63">
        <f t="shared" si="1"/>
        <v>25</v>
      </c>
      <c r="N63">
        <f t="shared" si="2"/>
        <v>24</v>
      </c>
      <c r="O63" s="128" t="s">
        <v>1146</v>
      </c>
      <c r="P63" s="1">
        <v>46.5</v>
      </c>
      <c r="Q63" s="1">
        <v>67.099999999999994</v>
      </c>
      <c r="S63" s="1"/>
    </row>
    <row r="64" spans="13:19" ht="12.75">
      <c r="M64">
        <f t="shared" si="1"/>
        <v>26</v>
      </c>
      <c r="N64">
        <f t="shared" si="2"/>
        <v>25</v>
      </c>
      <c r="O64" s="128" t="s">
        <v>782</v>
      </c>
      <c r="P64" s="1">
        <v>51</v>
      </c>
      <c r="Q64" s="1">
        <v>105.6</v>
      </c>
    </row>
    <row r="65" spans="13:22" ht="12.75">
      <c r="M65">
        <f t="shared" si="1"/>
        <v>27</v>
      </c>
      <c r="N65">
        <f t="shared" si="2"/>
        <v>26</v>
      </c>
      <c r="O65" s="128" t="s">
        <v>42</v>
      </c>
      <c r="P65" s="1">
        <v>51.5</v>
      </c>
      <c r="Q65" s="1">
        <v>126.2</v>
      </c>
      <c r="R65" s="1"/>
    </row>
    <row r="66" spans="13:22" ht="12.75">
      <c r="M66">
        <f t="shared" si="1"/>
        <v>28</v>
      </c>
      <c r="N66">
        <f t="shared" si="2"/>
        <v>27</v>
      </c>
      <c r="O66" s="110" t="s">
        <v>400</v>
      </c>
      <c r="P66" s="1">
        <v>52.5</v>
      </c>
      <c r="Q66" s="1">
        <v>108.7</v>
      </c>
      <c r="R66" s="1"/>
      <c r="S66" s="1"/>
    </row>
    <row r="67" spans="13:22" ht="12.75">
      <c r="M67">
        <f t="shared" si="1"/>
        <v>29</v>
      </c>
      <c r="N67">
        <f t="shared" si="2"/>
        <v>28</v>
      </c>
      <c r="O67" s="110" t="s">
        <v>401</v>
      </c>
      <c r="P67" s="1">
        <v>52.1</v>
      </c>
      <c r="Q67" s="1">
        <v>106.7</v>
      </c>
      <c r="S67" s="1"/>
    </row>
    <row r="68" spans="13:22" ht="12.75">
      <c r="M68">
        <f t="shared" si="1"/>
        <v>30</v>
      </c>
      <c r="N68">
        <f t="shared" si="2"/>
        <v>29</v>
      </c>
      <c r="O68" s="1" t="s">
        <v>402</v>
      </c>
      <c r="P68" s="1">
        <v>52.4</v>
      </c>
      <c r="Q68" s="1">
        <v>108.5</v>
      </c>
      <c r="R68" s="1"/>
      <c r="S68" s="1"/>
    </row>
    <row r="69" spans="13:22" ht="12.75">
      <c r="M69">
        <f t="shared" si="1"/>
        <v>31</v>
      </c>
      <c r="N69">
        <f t="shared" si="2"/>
        <v>30</v>
      </c>
      <c r="O69" s="5" t="s">
        <v>403</v>
      </c>
      <c r="P69" s="1">
        <v>52.7</v>
      </c>
      <c r="Q69" s="1">
        <v>163.6</v>
      </c>
      <c r="S69" s="1"/>
    </row>
    <row r="70" spans="13:22" ht="12.75">
      <c r="M70">
        <f t="shared" si="1"/>
        <v>32</v>
      </c>
      <c r="N70">
        <f t="shared" si="2"/>
        <v>31</v>
      </c>
      <c r="O70" s="5" t="s">
        <v>407</v>
      </c>
      <c r="P70" s="1">
        <v>54.3</v>
      </c>
      <c r="Q70" s="1">
        <v>126.1</v>
      </c>
      <c r="R70" s="1"/>
      <c r="S70" s="1"/>
    </row>
    <row r="71" spans="13:22" ht="12.75">
      <c r="M71">
        <f t="shared" si="1"/>
        <v>33</v>
      </c>
      <c r="N71">
        <f t="shared" si="2"/>
        <v>32</v>
      </c>
      <c r="O71" s="5" t="s">
        <v>408</v>
      </c>
      <c r="P71" s="1">
        <v>53.5</v>
      </c>
      <c r="Q71" s="1">
        <v>131.6</v>
      </c>
    </row>
    <row r="72" spans="13:22" ht="12.75">
      <c r="M72">
        <f t="shared" si="1"/>
        <v>34</v>
      </c>
      <c r="N72">
        <f t="shared" si="2"/>
        <v>33</v>
      </c>
      <c r="O72" s="1" t="s">
        <v>1148</v>
      </c>
      <c r="P72" s="1">
        <v>56.6</v>
      </c>
      <c r="Q72" s="1">
        <v>125.1</v>
      </c>
      <c r="S72" s="1"/>
    </row>
    <row r="73" spans="13:22" ht="12.75">
      <c r="M73">
        <f t="shared" si="1"/>
        <v>35</v>
      </c>
      <c r="N73">
        <f t="shared" si="2"/>
        <v>34</v>
      </c>
      <c r="O73" s="1" t="s">
        <v>1149</v>
      </c>
      <c r="P73" s="1">
        <v>57.3</v>
      </c>
      <c r="Q73" s="1">
        <v>126.2</v>
      </c>
      <c r="R73" s="1"/>
      <c r="S73" s="1"/>
    </row>
    <row r="74" spans="13:22" ht="12.75">
      <c r="M74">
        <f t="shared" si="1"/>
        <v>36</v>
      </c>
      <c r="N74">
        <f t="shared" si="2"/>
        <v>35</v>
      </c>
      <c r="O74" s="1" t="s">
        <v>1150</v>
      </c>
      <c r="P74" s="1">
        <v>56.1</v>
      </c>
      <c r="Q74" s="1">
        <v>124.6</v>
      </c>
      <c r="S74" s="1"/>
    </row>
    <row r="75" spans="13:22" ht="12.75">
      <c r="M75">
        <f t="shared" si="1"/>
        <v>37</v>
      </c>
      <c r="N75">
        <f t="shared" si="2"/>
        <v>36</v>
      </c>
      <c r="O75" s="110" t="s">
        <v>1048</v>
      </c>
      <c r="P75" s="1">
        <v>51.6</v>
      </c>
      <c r="Q75" s="1">
        <v>22.4</v>
      </c>
    </row>
    <row r="76" spans="13:22" ht="21" customHeight="1">
      <c r="M76">
        <f t="shared" si="1"/>
        <v>38</v>
      </c>
      <c r="N76">
        <f t="shared" si="2"/>
        <v>37</v>
      </c>
      <c r="O76" s="110" t="s">
        <v>1158</v>
      </c>
      <c r="P76" s="1">
        <v>56.9</v>
      </c>
      <c r="Q76" s="1">
        <v>110.3</v>
      </c>
      <c r="T76" s="1"/>
      <c r="V76" s="1"/>
    </row>
    <row r="77" spans="13:22" ht="12.75">
      <c r="M77">
        <f t="shared" si="1"/>
        <v>39</v>
      </c>
      <c r="N77" s="1">
        <v>1</v>
      </c>
      <c r="O77" s="1" t="s">
        <v>820</v>
      </c>
      <c r="P77" s="1">
        <v>43.3</v>
      </c>
      <c r="Q77" s="1"/>
    </row>
    <row r="78" spans="13:22" ht="12.75">
      <c r="M78">
        <f t="shared" si="1"/>
        <v>40</v>
      </c>
      <c r="N78" s="1">
        <v>2</v>
      </c>
      <c r="O78" s="1" t="s">
        <v>821</v>
      </c>
      <c r="P78" s="1">
        <v>325.89999999999998</v>
      </c>
      <c r="Q78" s="1">
        <v>15.4</v>
      </c>
      <c r="S78" s="1"/>
    </row>
    <row r="79" spans="13:22" ht="12.75">
      <c r="M79">
        <f t="shared" si="1"/>
        <v>41</v>
      </c>
      <c r="N79" s="1">
        <v>3</v>
      </c>
      <c r="O79" s="1" t="s">
        <v>822</v>
      </c>
      <c r="P79" s="1">
        <v>119.9</v>
      </c>
      <c r="Q79" s="1">
        <v>111.3</v>
      </c>
    </row>
    <row r="80" spans="13:22" ht="12.75">
      <c r="M80">
        <f t="shared" si="1"/>
        <v>42</v>
      </c>
      <c r="N80" s="1">
        <v>4</v>
      </c>
      <c r="O80" s="1" t="s">
        <v>823</v>
      </c>
      <c r="P80" s="1">
        <v>55.4</v>
      </c>
      <c r="Q80" s="1">
        <v>226.4</v>
      </c>
      <c r="S80" s="1"/>
    </row>
    <row r="81" spans="13:19" ht="12.75">
      <c r="M81">
        <f t="shared" si="1"/>
        <v>43</v>
      </c>
      <c r="N81" s="1">
        <v>5</v>
      </c>
      <c r="O81" s="1" t="s">
        <v>692</v>
      </c>
      <c r="P81" s="1">
        <v>37.4</v>
      </c>
      <c r="Q81" s="1"/>
      <c r="S81" s="1"/>
    </row>
    <row r="82" spans="13:19" ht="12.75">
      <c r="M82">
        <f t="shared" si="1"/>
        <v>44</v>
      </c>
      <c r="N82" s="1">
        <v>1</v>
      </c>
      <c r="O82" s="1" t="s">
        <v>820</v>
      </c>
      <c r="P82" s="1">
        <v>37.200000000000003</v>
      </c>
      <c r="Q82" s="1"/>
    </row>
    <row r="83" spans="13:19" ht="12.75">
      <c r="M83">
        <f t="shared" si="1"/>
        <v>45</v>
      </c>
      <c r="N83" s="1">
        <v>1</v>
      </c>
      <c r="O83" s="1" t="s">
        <v>820</v>
      </c>
      <c r="P83" s="1">
        <v>34</v>
      </c>
    </row>
    <row r="84" spans="13:19" ht="12.75">
      <c r="M84">
        <f t="shared" si="1"/>
        <v>46</v>
      </c>
      <c r="N84" s="1">
        <v>38</v>
      </c>
      <c r="O84" s="1" t="s">
        <v>1159</v>
      </c>
      <c r="P84" s="1">
        <v>385.5</v>
      </c>
      <c r="Q84" s="1">
        <v>14.3</v>
      </c>
      <c r="S84" s="1"/>
    </row>
    <row r="85" spans="13:19" ht="12.75">
      <c r="M85">
        <f t="shared" si="1"/>
        <v>47</v>
      </c>
      <c r="N85" s="1">
        <v>39</v>
      </c>
      <c r="O85" s="1" t="s">
        <v>1160</v>
      </c>
      <c r="P85" s="1">
        <v>133.69999999999999</v>
      </c>
      <c r="Q85" s="1">
        <v>115</v>
      </c>
      <c r="S85" s="1"/>
    </row>
    <row r="86" spans="13:19" ht="12.75">
      <c r="M86">
        <f t="shared" si="1"/>
        <v>48</v>
      </c>
      <c r="N86" s="1">
        <v>40</v>
      </c>
      <c r="O86" s="1" t="s">
        <v>1161</v>
      </c>
      <c r="P86" s="1">
        <v>52.5</v>
      </c>
      <c r="Q86" s="1">
        <v>223</v>
      </c>
      <c r="S86" s="1"/>
    </row>
    <row r="87" spans="13:19" ht="12.75">
      <c r="M87">
        <f t="shared" si="1"/>
        <v>49</v>
      </c>
      <c r="N87" s="1">
        <v>1</v>
      </c>
      <c r="O87" s="1" t="s">
        <v>820</v>
      </c>
      <c r="P87" s="1">
        <v>32.799999999999997</v>
      </c>
      <c r="S87" s="1"/>
    </row>
    <row r="88" spans="13:19" ht="12.75">
      <c r="P88" s="1"/>
      <c r="R88" s="1"/>
      <c r="S88" s="1"/>
    </row>
    <row r="89" spans="13:19" ht="12.75">
      <c r="O89" s="1"/>
      <c r="P89" s="1"/>
      <c r="S89" s="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5"/>
  <sheetViews>
    <sheetView workbookViewId="0"/>
  </sheetViews>
  <sheetFormatPr defaultColWidth="14.42578125" defaultRowHeight="15.75" customHeight="1"/>
  <cols>
    <col min="6" max="6" width="25" customWidth="1"/>
    <col min="7" max="7" width="16.7109375" customWidth="1"/>
    <col min="8" max="8" width="17" customWidth="1"/>
    <col min="11" max="11" width="30.28515625" customWidth="1"/>
  </cols>
  <sheetData>
    <row r="1" spans="1:28" ht="15.75" customHeight="1">
      <c r="A1" s="1" t="s">
        <v>1001</v>
      </c>
    </row>
    <row r="2" spans="1:28" ht="15.75" customHeight="1">
      <c r="P2" s="1" t="s">
        <v>1162</v>
      </c>
    </row>
    <row r="3" spans="1:28" ht="15.75" customHeight="1">
      <c r="A3" s="114" t="s">
        <v>1</v>
      </c>
      <c r="B3" s="110" t="s">
        <v>658</v>
      </c>
      <c r="C3" s="114" t="s">
        <v>659</v>
      </c>
      <c r="D3" s="114" t="s">
        <v>660</v>
      </c>
      <c r="E3" s="114" t="s">
        <v>661</v>
      </c>
      <c r="F3" s="114" t="s">
        <v>1032</v>
      </c>
      <c r="G3" s="110" t="s">
        <v>1072</v>
      </c>
      <c r="H3" s="110" t="s">
        <v>585</v>
      </c>
      <c r="I3" s="110" t="s">
        <v>999</v>
      </c>
      <c r="J3" s="114" t="s">
        <v>97</v>
      </c>
      <c r="K3" s="114" t="s">
        <v>664</v>
      </c>
      <c r="L3" s="114" t="s">
        <v>665</v>
      </c>
      <c r="M3" s="114" t="s">
        <v>666</v>
      </c>
      <c r="N3" s="114" t="s">
        <v>667</v>
      </c>
      <c r="P3" s="1" t="s">
        <v>6</v>
      </c>
      <c r="Q3" s="1" t="s">
        <v>7</v>
      </c>
      <c r="R3" s="1" t="s">
        <v>8</v>
      </c>
      <c r="S3" s="1" t="s">
        <v>9</v>
      </c>
      <c r="T3" s="1" t="s">
        <v>10</v>
      </c>
      <c r="V3" s="103" t="s">
        <v>11</v>
      </c>
      <c r="W3" s="103" t="s">
        <v>397</v>
      </c>
      <c r="X3" s="103" t="s">
        <v>1000</v>
      </c>
      <c r="Y3" s="1" t="s">
        <v>1112</v>
      </c>
      <c r="AA3" s="1"/>
      <c r="AB3" s="1"/>
    </row>
    <row r="4" spans="1:28" ht="15.75" customHeight="1">
      <c r="A4" s="114" t="s">
        <v>962</v>
      </c>
      <c r="B4" s="114"/>
      <c r="C4" s="114"/>
      <c r="D4" s="114"/>
      <c r="E4" s="114"/>
      <c r="F4" s="114"/>
      <c r="G4" s="114"/>
      <c r="H4" s="110"/>
      <c r="I4" s="114"/>
      <c r="J4" s="114"/>
      <c r="K4" s="114"/>
      <c r="L4" s="114"/>
      <c r="N4" s="114"/>
      <c r="W4" s="1">
        <v>340</v>
      </c>
      <c r="AB4" s="1"/>
    </row>
    <row r="5" spans="1:28" ht="15.75" customHeight="1">
      <c r="A5" s="110" t="s">
        <v>17</v>
      </c>
      <c r="B5" s="110" t="s">
        <v>669</v>
      </c>
      <c r="C5" s="110" t="s">
        <v>591</v>
      </c>
      <c r="D5" s="111">
        <v>4</v>
      </c>
      <c r="E5" s="127">
        <f t="shared" ref="E5:E16" si="0">D5+L5/1000</f>
        <v>4.2</v>
      </c>
      <c r="F5" s="110" t="s">
        <v>1113</v>
      </c>
      <c r="G5" s="112" t="s">
        <v>1121</v>
      </c>
      <c r="H5" s="110" t="s">
        <v>1003</v>
      </c>
      <c r="I5" s="112" t="s">
        <v>1163</v>
      </c>
      <c r="J5" s="111">
        <v>1</v>
      </c>
      <c r="K5" s="111">
        <v>10</v>
      </c>
      <c r="L5" s="112">
        <v>200</v>
      </c>
      <c r="M5" s="112">
        <v>10</v>
      </c>
      <c r="N5" s="112">
        <v>50</v>
      </c>
      <c r="P5" s="1">
        <v>12492.5</v>
      </c>
      <c r="Q5" s="1">
        <v>0</v>
      </c>
      <c r="R5" s="1">
        <v>351.7</v>
      </c>
      <c r="S5" s="1">
        <v>1292.8</v>
      </c>
      <c r="T5" s="1">
        <v>27.4</v>
      </c>
      <c r="U5" s="1"/>
      <c r="V5">
        <f t="shared" ref="V5:V16" si="1">$W$4/R5*S5</f>
        <v>1249.7924367358544</v>
      </c>
      <c r="Y5" s="1"/>
      <c r="AB5" s="1"/>
    </row>
    <row r="6" spans="1:28" ht="15.75" customHeight="1">
      <c r="A6" s="110" t="s">
        <v>18</v>
      </c>
      <c r="B6" s="110" t="s">
        <v>669</v>
      </c>
      <c r="C6" s="110" t="s">
        <v>591</v>
      </c>
      <c r="D6" s="111">
        <v>4</v>
      </c>
      <c r="E6" s="127">
        <f t="shared" si="0"/>
        <v>4.2</v>
      </c>
      <c r="F6" s="110" t="s">
        <v>1113</v>
      </c>
      <c r="G6" s="112" t="s">
        <v>1121</v>
      </c>
      <c r="H6" s="110" t="s">
        <v>1003</v>
      </c>
      <c r="I6" s="112" t="s">
        <v>1163</v>
      </c>
      <c r="J6" s="111">
        <v>1</v>
      </c>
      <c r="K6" s="111">
        <v>10</v>
      </c>
      <c r="L6" s="112">
        <v>200</v>
      </c>
      <c r="M6" s="112">
        <v>10</v>
      </c>
      <c r="N6" s="112">
        <v>50</v>
      </c>
      <c r="P6" s="1">
        <v>12246.4</v>
      </c>
      <c r="Q6" s="1">
        <v>0</v>
      </c>
      <c r="R6" s="1">
        <v>332.7</v>
      </c>
      <c r="S6" s="1">
        <v>1304.5</v>
      </c>
      <c r="T6" s="1">
        <v>0</v>
      </c>
      <c r="U6" s="1"/>
      <c r="V6">
        <f t="shared" si="1"/>
        <v>1333.1229335737903</v>
      </c>
      <c r="Y6" s="1"/>
      <c r="AB6" s="1"/>
    </row>
    <row r="7" spans="1:28" ht="15.75" customHeight="1">
      <c r="A7" s="110" t="s">
        <v>19</v>
      </c>
      <c r="B7" s="110" t="s">
        <v>669</v>
      </c>
      <c r="C7" s="110" t="s">
        <v>591</v>
      </c>
      <c r="D7" s="111">
        <v>4</v>
      </c>
      <c r="E7" s="127">
        <f t="shared" si="0"/>
        <v>4.2</v>
      </c>
      <c r="F7" s="110" t="s">
        <v>1113</v>
      </c>
      <c r="G7" s="112" t="s">
        <v>1121</v>
      </c>
      <c r="H7" s="110" t="s">
        <v>1003</v>
      </c>
      <c r="I7" s="112" t="s">
        <v>1163</v>
      </c>
      <c r="J7" s="111">
        <v>1</v>
      </c>
      <c r="K7" s="111">
        <v>10</v>
      </c>
      <c r="L7" s="112">
        <v>200</v>
      </c>
      <c r="M7" s="112">
        <v>10</v>
      </c>
      <c r="N7" s="112">
        <v>50</v>
      </c>
      <c r="P7" s="1">
        <v>11306.3</v>
      </c>
      <c r="Q7" s="1">
        <v>0</v>
      </c>
      <c r="R7" s="1">
        <v>477.5</v>
      </c>
      <c r="S7" s="1">
        <v>1144.4000000000001</v>
      </c>
      <c r="T7" s="1">
        <v>50.1</v>
      </c>
      <c r="U7" s="1"/>
      <c r="V7">
        <f t="shared" si="1"/>
        <v>814.86073298429324</v>
      </c>
      <c r="X7">
        <f>AVERAGE(V5:V7)</f>
        <v>1132.5920344313126</v>
      </c>
      <c r="Y7" s="1"/>
      <c r="AB7" s="1"/>
    </row>
    <row r="8" spans="1:28" ht="15.75" customHeight="1">
      <c r="A8" s="110" t="s">
        <v>20</v>
      </c>
      <c r="B8" s="1" t="s">
        <v>675</v>
      </c>
      <c r="C8" s="110" t="s">
        <v>591</v>
      </c>
      <c r="D8" s="111">
        <v>4</v>
      </c>
      <c r="E8" s="127">
        <f t="shared" si="0"/>
        <v>4.2</v>
      </c>
      <c r="F8" s="110" t="s">
        <v>1164</v>
      </c>
      <c r="G8" s="112" t="s">
        <v>1121</v>
      </c>
      <c r="H8" s="110" t="s">
        <v>1003</v>
      </c>
      <c r="I8" s="112" t="s">
        <v>1163</v>
      </c>
      <c r="J8" s="112">
        <v>2</v>
      </c>
      <c r="K8" s="111">
        <v>10</v>
      </c>
      <c r="L8" s="112">
        <v>200</v>
      </c>
      <c r="M8" s="112">
        <v>10</v>
      </c>
      <c r="N8" s="112">
        <v>50</v>
      </c>
      <c r="P8" s="1">
        <v>12315.3</v>
      </c>
      <c r="Q8" s="1">
        <v>0</v>
      </c>
      <c r="R8" s="1">
        <v>322.3</v>
      </c>
      <c r="S8" s="1">
        <v>1103.8</v>
      </c>
      <c r="T8" s="1">
        <v>79.400000000000006</v>
      </c>
      <c r="U8" s="1"/>
      <c r="V8">
        <f t="shared" si="1"/>
        <v>1164.4182438721687</v>
      </c>
      <c r="X8" s="166"/>
      <c r="Y8" s="103"/>
      <c r="Z8" s="166"/>
      <c r="AA8" s="166"/>
      <c r="AB8" s="103"/>
    </row>
    <row r="9" spans="1:28" ht="15.75" customHeight="1">
      <c r="A9" s="110" t="s">
        <v>21</v>
      </c>
      <c r="B9" s="1" t="s">
        <v>675</v>
      </c>
      <c r="C9" s="110" t="s">
        <v>591</v>
      </c>
      <c r="D9" s="111">
        <v>4</v>
      </c>
      <c r="E9" s="127">
        <f t="shared" si="0"/>
        <v>4.2</v>
      </c>
      <c r="F9" s="110" t="s">
        <v>1164</v>
      </c>
      <c r="G9" s="112" t="s">
        <v>1121</v>
      </c>
      <c r="H9" s="110" t="s">
        <v>1003</v>
      </c>
      <c r="I9" s="112" t="s">
        <v>1163</v>
      </c>
      <c r="J9" s="112">
        <v>2</v>
      </c>
      <c r="K9" s="111">
        <v>10</v>
      </c>
      <c r="L9" s="112">
        <v>200</v>
      </c>
      <c r="M9" s="112">
        <v>10</v>
      </c>
      <c r="N9" s="112">
        <v>50</v>
      </c>
      <c r="P9" s="1">
        <v>12164.1</v>
      </c>
      <c r="Q9" s="1">
        <v>0</v>
      </c>
      <c r="R9" s="1">
        <v>316.7</v>
      </c>
      <c r="S9" s="1">
        <v>1154.9000000000001</v>
      </c>
      <c r="T9" s="1">
        <v>44.6</v>
      </c>
      <c r="V9">
        <f t="shared" si="1"/>
        <v>1239.8673823808022</v>
      </c>
      <c r="X9" s="166"/>
      <c r="Y9" s="166"/>
      <c r="Z9" s="176"/>
      <c r="AB9" s="1"/>
    </row>
    <row r="10" spans="1:28" ht="15.75" customHeight="1">
      <c r="A10" s="110" t="s">
        <v>1076</v>
      </c>
      <c r="B10" s="1" t="s">
        <v>675</v>
      </c>
      <c r="C10" s="110" t="s">
        <v>591</v>
      </c>
      <c r="D10" s="111">
        <v>4</v>
      </c>
      <c r="E10" s="127">
        <f t="shared" si="0"/>
        <v>4.2</v>
      </c>
      <c r="F10" s="110" t="s">
        <v>1164</v>
      </c>
      <c r="G10" s="112" t="s">
        <v>1121</v>
      </c>
      <c r="H10" s="110" t="s">
        <v>1003</v>
      </c>
      <c r="I10" s="112" t="s">
        <v>1163</v>
      </c>
      <c r="J10" s="112">
        <v>2</v>
      </c>
      <c r="K10" s="111">
        <v>10</v>
      </c>
      <c r="L10" s="112">
        <v>200</v>
      </c>
      <c r="M10" s="112">
        <v>10</v>
      </c>
      <c r="N10" s="112">
        <v>50</v>
      </c>
      <c r="P10" s="1">
        <v>11979.7</v>
      </c>
      <c r="Q10" s="1">
        <v>0</v>
      </c>
      <c r="R10" s="1">
        <v>324.8</v>
      </c>
      <c r="S10" s="1">
        <v>1222.5</v>
      </c>
      <c r="T10" s="1">
        <v>35.6</v>
      </c>
      <c r="U10" s="1"/>
      <c r="V10">
        <f t="shared" si="1"/>
        <v>1279.7105911330048</v>
      </c>
      <c r="X10">
        <f>AVERAGE(V8:V10)</f>
        <v>1227.9987391286586</v>
      </c>
      <c r="Y10" s="1"/>
      <c r="AB10" s="1"/>
    </row>
    <row r="11" spans="1:28" ht="15.75" customHeight="1">
      <c r="A11" s="110" t="s">
        <v>23</v>
      </c>
      <c r="B11" s="110" t="s">
        <v>678</v>
      </c>
      <c r="C11" s="110" t="s">
        <v>591</v>
      </c>
      <c r="D11" s="112">
        <v>4</v>
      </c>
      <c r="E11" s="127">
        <f t="shared" si="0"/>
        <v>4.2</v>
      </c>
      <c r="F11" s="110" t="s">
        <v>1113</v>
      </c>
      <c r="G11" s="112" t="s">
        <v>1121</v>
      </c>
      <c r="H11" s="110" t="s">
        <v>1003</v>
      </c>
      <c r="I11" s="112" t="s">
        <v>1119</v>
      </c>
      <c r="J11" s="111">
        <v>1</v>
      </c>
      <c r="K11" s="111">
        <v>10</v>
      </c>
      <c r="L11" s="112">
        <v>200</v>
      </c>
      <c r="M11" s="112">
        <v>10</v>
      </c>
      <c r="N11" s="112">
        <v>50</v>
      </c>
      <c r="P11" s="1">
        <v>11834.5</v>
      </c>
      <c r="Q11" s="1">
        <v>0</v>
      </c>
      <c r="R11" s="1">
        <v>317.8</v>
      </c>
      <c r="S11" s="1">
        <v>1253.5999999999999</v>
      </c>
      <c r="T11" s="1">
        <v>0</v>
      </c>
      <c r="U11" s="1"/>
      <c r="V11">
        <f t="shared" si="1"/>
        <v>1341.1705475141598</v>
      </c>
      <c r="Y11" s="1"/>
      <c r="AB11" s="1"/>
    </row>
    <row r="12" spans="1:28" ht="15.75" customHeight="1">
      <c r="A12" s="110" t="s">
        <v>24</v>
      </c>
      <c r="B12" s="110" t="s">
        <v>678</v>
      </c>
      <c r="C12" s="110" t="s">
        <v>591</v>
      </c>
      <c r="D12" s="112">
        <v>4</v>
      </c>
      <c r="E12" s="127">
        <f t="shared" si="0"/>
        <v>4.2</v>
      </c>
      <c r="F12" s="110" t="s">
        <v>1113</v>
      </c>
      <c r="G12" s="112" t="s">
        <v>1121</v>
      </c>
      <c r="H12" s="110" t="s">
        <v>1003</v>
      </c>
      <c r="I12" s="112" t="s">
        <v>1119</v>
      </c>
      <c r="J12" s="111">
        <v>1</v>
      </c>
      <c r="K12" s="111">
        <v>10</v>
      </c>
      <c r="L12" s="112">
        <v>200</v>
      </c>
      <c r="M12" s="112">
        <v>10</v>
      </c>
      <c r="N12" s="112">
        <v>50</v>
      </c>
      <c r="P12" s="1">
        <v>11510.6</v>
      </c>
      <c r="Q12" s="1">
        <v>0</v>
      </c>
      <c r="R12" s="1">
        <v>354.1</v>
      </c>
      <c r="S12" s="1">
        <v>1267.5999999999999</v>
      </c>
      <c r="T12" s="1">
        <v>0</v>
      </c>
      <c r="U12" s="1"/>
      <c r="V12">
        <f t="shared" si="1"/>
        <v>1217.1251059022873</v>
      </c>
    </row>
    <row r="13" spans="1:28" ht="15.75" customHeight="1">
      <c r="A13" s="110" t="s">
        <v>25</v>
      </c>
      <c r="B13" s="110" t="s">
        <v>678</v>
      </c>
      <c r="C13" s="110" t="s">
        <v>591</v>
      </c>
      <c r="D13" s="112">
        <v>4</v>
      </c>
      <c r="E13" s="127">
        <f t="shared" si="0"/>
        <v>4.2</v>
      </c>
      <c r="F13" s="110" t="s">
        <v>1113</v>
      </c>
      <c r="G13" s="112" t="s">
        <v>1121</v>
      </c>
      <c r="H13" s="110" t="s">
        <v>1003</v>
      </c>
      <c r="I13" s="112" t="s">
        <v>1119</v>
      </c>
      <c r="J13" s="111">
        <v>1</v>
      </c>
      <c r="K13" s="111">
        <v>10</v>
      </c>
      <c r="L13" s="112">
        <v>200</v>
      </c>
      <c r="M13" s="112">
        <v>10</v>
      </c>
      <c r="N13" s="112">
        <v>50</v>
      </c>
      <c r="P13" s="1">
        <v>11761.9</v>
      </c>
      <c r="Q13" s="1">
        <v>0</v>
      </c>
      <c r="R13" s="1">
        <v>320.8</v>
      </c>
      <c r="S13" s="1">
        <v>1242.4000000000001</v>
      </c>
      <c r="T13" s="1">
        <v>0</v>
      </c>
      <c r="U13" s="1"/>
      <c r="V13">
        <f t="shared" si="1"/>
        <v>1316.7581047381548</v>
      </c>
      <c r="X13">
        <f>AVERAGE(V11:V13)</f>
        <v>1291.6845860515339</v>
      </c>
    </row>
    <row r="14" spans="1:28" ht="15.75" customHeight="1">
      <c r="A14" s="110" t="s">
        <v>26</v>
      </c>
      <c r="B14" s="110" t="s">
        <v>1078</v>
      </c>
      <c r="C14" s="110" t="s">
        <v>591</v>
      </c>
      <c r="D14" s="112">
        <v>4</v>
      </c>
      <c r="E14" s="127">
        <f t="shared" si="0"/>
        <v>4.2</v>
      </c>
      <c r="F14" s="110" t="s">
        <v>1165</v>
      </c>
      <c r="G14" s="112" t="s">
        <v>1121</v>
      </c>
      <c r="H14" s="110" t="s">
        <v>1003</v>
      </c>
      <c r="I14" s="112" t="s">
        <v>1163</v>
      </c>
      <c r="J14" s="112">
        <v>3</v>
      </c>
      <c r="K14" s="111">
        <v>10</v>
      </c>
      <c r="L14" s="112">
        <v>200</v>
      </c>
      <c r="M14" s="112">
        <v>10</v>
      </c>
      <c r="N14" s="112">
        <v>50</v>
      </c>
      <c r="P14" s="1">
        <v>12356.8</v>
      </c>
      <c r="Q14" s="1">
        <v>0</v>
      </c>
      <c r="R14" s="1">
        <v>332.5</v>
      </c>
      <c r="S14" s="1">
        <v>1068</v>
      </c>
      <c r="T14" s="1">
        <v>82.1</v>
      </c>
      <c r="U14" s="1"/>
      <c r="V14">
        <f t="shared" si="1"/>
        <v>1092.0902255639098</v>
      </c>
      <c r="Y14" s="1"/>
      <c r="AB14" s="1"/>
    </row>
    <row r="15" spans="1:28" ht="15.75" customHeight="1">
      <c r="A15" s="110" t="s">
        <v>27</v>
      </c>
      <c r="B15" s="110" t="s">
        <v>1078</v>
      </c>
      <c r="C15" s="110" t="s">
        <v>591</v>
      </c>
      <c r="D15" s="112">
        <v>4</v>
      </c>
      <c r="E15" s="127">
        <f t="shared" si="0"/>
        <v>4.2</v>
      </c>
      <c r="F15" s="110" t="s">
        <v>1165</v>
      </c>
      <c r="G15" s="112" t="s">
        <v>1121</v>
      </c>
      <c r="H15" s="110" t="s">
        <v>1003</v>
      </c>
      <c r="I15" s="112" t="s">
        <v>1163</v>
      </c>
      <c r="J15" s="112">
        <v>3</v>
      </c>
      <c r="K15" s="111">
        <v>10</v>
      </c>
      <c r="L15" s="112">
        <v>200</v>
      </c>
      <c r="M15" s="112">
        <v>10</v>
      </c>
      <c r="N15" s="112">
        <v>50</v>
      </c>
      <c r="P15" s="1">
        <v>11947.9</v>
      </c>
      <c r="Q15" s="1">
        <v>0</v>
      </c>
      <c r="R15" s="1">
        <v>311.8</v>
      </c>
      <c r="S15" s="1">
        <v>1117.8</v>
      </c>
      <c r="T15" s="1">
        <v>50.4</v>
      </c>
      <c r="U15" s="1"/>
      <c r="V15">
        <f t="shared" si="1"/>
        <v>1218.8967286722257</v>
      </c>
    </row>
    <row r="16" spans="1:28" ht="15.75" customHeight="1">
      <c r="A16" s="110" t="s">
        <v>28</v>
      </c>
      <c r="B16" s="110" t="s">
        <v>1078</v>
      </c>
      <c r="C16" s="110" t="s">
        <v>591</v>
      </c>
      <c r="D16" s="112">
        <v>4</v>
      </c>
      <c r="E16" s="127">
        <f t="shared" si="0"/>
        <v>4.2</v>
      </c>
      <c r="F16" s="110" t="s">
        <v>1165</v>
      </c>
      <c r="G16" s="112" t="s">
        <v>1121</v>
      </c>
      <c r="H16" s="110" t="s">
        <v>1003</v>
      </c>
      <c r="I16" s="112" t="s">
        <v>1163</v>
      </c>
      <c r="J16" s="112">
        <v>3</v>
      </c>
      <c r="K16" s="111">
        <v>10</v>
      </c>
      <c r="L16" s="112">
        <v>200</v>
      </c>
      <c r="M16" s="112">
        <v>10</v>
      </c>
      <c r="N16" s="112">
        <v>50</v>
      </c>
      <c r="P16" s="1">
        <v>11739</v>
      </c>
      <c r="Q16" s="1">
        <v>0</v>
      </c>
      <c r="R16" s="1">
        <v>327.7</v>
      </c>
      <c r="S16" s="1">
        <v>1193.4000000000001</v>
      </c>
      <c r="T16" s="1">
        <v>35.6</v>
      </c>
      <c r="U16" s="1"/>
      <c r="V16">
        <f t="shared" si="1"/>
        <v>1238.1934696368633</v>
      </c>
      <c r="X16">
        <f>AVERAGE(V14:V16)</f>
        <v>1183.0601412909998</v>
      </c>
      <c r="AB16" s="1"/>
    </row>
    <row r="17" spans="1:24" ht="15.75" customHeight="1">
      <c r="A17" s="114"/>
      <c r="I17" s="112"/>
      <c r="R17" s="1"/>
      <c r="T17" s="1"/>
      <c r="U17" s="1"/>
      <c r="V17" s="1"/>
    </row>
    <row r="18" spans="1:24" ht="15.75" customHeight="1">
      <c r="A18" s="114"/>
      <c r="B18" s="114"/>
      <c r="C18" s="114" t="s">
        <v>300</v>
      </c>
      <c r="D18" s="127">
        <f>SUM(D5:D17)</f>
        <v>48</v>
      </c>
      <c r="K18" s="1" t="s">
        <v>1166</v>
      </c>
      <c r="L18">
        <f>SUM(L5:L7,L11:L13)</f>
        <v>1200</v>
      </c>
      <c r="R18" s="1"/>
      <c r="T18" s="1"/>
      <c r="U18" s="1"/>
      <c r="V18" s="1"/>
    </row>
    <row r="19" spans="1:24" ht="15.75" customHeight="1">
      <c r="A19" s="114"/>
      <c r="R19" s="1"/>
      <c r="T19" s="1"/>
      <c r="U19" s="1"/>
      <c r="V19" s="1"/>
      <c r="X19" s="124"/>
    </row>
    <row r="20" spans="1:24" ht="15.75" customHeight="1">
      <c r="A20" s="125" t="s">
        <v>1040</v>
      </c>
      <c r="B20" s="1"/>
      <c r="C20" s="1" t="s">
        <v>1041</v>
      </c>
      <c r="E20" s="1" t="s">
        <v>1167</v>
      </c>
      <c r="L20" s="125" t="s">
        <v>968</v>
      </c>
      <c r="M20" s="114"/>
      <c r="N20" s="114"/>
      <c r="R20" s="1"/>
      <c r="T20" s="1"/>
      <c r="U20" s="1"/>
      <c r="V20" s="1"/>
      <c r="X20" s="124"/>
    </row>
    <row r="21" spans="1:24" ht="15.75" customHeight="1">
      <c r="A21" s="1" t="s">
        <v>1168</v>
      </c>
      <c r="E21" s="1"/>
      <c r="L21" s="114" t="s">
        <v>970</v>
      </c>
      <c r="M21" s="114" t="s">
        <v>47</v>
      </c>
      <c r="N21" s="114" t="s">
        <v>300</v>
      </c>
      <c r="R21" s="1"/>
      <c r="T21" s="1"/>
      <c r="U21" s="1"/>
      <c r="V21" s="1"/>
      <c r="X21" s="124"/>
    </row>
    <row r="22" spans="1:24" ht="15.75" customHeight="1">
      <c r="A22" s="1" t="s">
        <v>1169</v>
      </c>
      <c r="E22" s="1"/>
      <c r="K22" s="1" t="s">
        <v>1170</v>
      </c>
      <c r="L22" s="125" t="s">
        <v>301</v>
      </c>
      <c r="M22" s="126">
        <v>0.3</v>
      </c>
      <c r="R22" s="1"/>
      <c r="T22" s="1"/>
      <c r="U22" s="1"/>
      <c r="V22" s="1"/>
      <c r="X22" s="124"/>
    </row>
    <row r="23" spans="1:24" ht="15.75" customHeight="1">
      <c r="A23" s="1" t="s">
        <v>1171</v>
      </c>
      <c r="E23" s="1"/>
      <c r="K23" s="1" t="s">
        <v>1131</v>
      </c>
      <c r="L23" s="112">
        <v>400</v>
      </c>
      <c r="M23" s="127">
        <f>L23/M22-L23</f>
        <v>933.33333333333348</v>
      </c>
      <c r="N23" s="127">
        <f>SUM(L23:M23)</f>
        <v>1333.3333333333335</v>
      </c>
      <c r="R23" s="1"/>
      <c r="T23" s="1"/>
      <c r="U23" s="1"/>
      <c r="V23" s="1"/>
      <c r="X23" s="124"/>
    </row>
    <row r="24" spans="1:24" ht="15.75" customHeight="1">
      <c r="A24" s="1" t="s">
        <v>1172</v>
      </c>
      <c r="E24" s="1"/>
    </row>
    <row r="25" spans="1:24" ht="15.75" customHeight="1">
      <c r="A25" s="1" t="s">
        <v>1173</v>
      </c>
      <c r="E25" s="1"/>
      <c r="K25" s="1" t="s">
        <v>1174</v>
      </c>
      <c r="L25" s="168" t="s">
        <v>99</v>
      </c>
      <c r="M25" s="126">
        <v>0.3</v>
      </c>
      <c r="N25" s="127"/>
      <c r="P25" s="1"/>
      <c r="Q25" s="1"/>
    </row>
    <row r="26" spans="1:24" ht="15.75" customHeight="1">
      <c r="A26" s="1" t="s">
        <v>1175</v>
      </c>
      <c r="E26" s="1"/>
      <c r="K26" s="1" t="s">
        <v>1176</v>
      </c>
      <c r="L26" s="112">
        <v>200</v>
      </c>
      <c r="M26" s="127">
        <f>L26/M25-L26</f>
        <v>466.66666666666674</v>
      </c>
      <c r="N26" s="127">
        <f>SUM(L26:M26)</f>
        <v>666.66666666666674</v>
      </c>
      <c r="P26" s="1"/>
      <c r="Q26" s="1"/>
      <c r="R26" s="1"/>
    </row>
    <row r="27" spans="1:24" ht="15.75" customHeight="1">
      <c r="A27" s="1"/>
      <c r="L27" s="112"/>
      <c r="M27" s="127"/>
      <c r="N27" s="127"/>
      <c r="Q27" s="1"/>
      <c r="R27" s="1"/>
      <c r="S27" s="1"/>
      <c r="T27" s="1"/>
      <c r="V27" s="1"/>
      <c r="W27" s="1"/>
    </row>
    <row r="28" spans="1:24" ht="15.75" customHeight="1">
      <c r="A28" s="1"/>
      <c r="K28" s="1" t="s">
        <v>1170</v>
      </c>
      <c r="L28" s="5" t="s">
        <v>101</v>
      </c>
      <c r="M28" s="1">
        <v>0.3</v>
      </c>
      <c r="Q28" s="1"/>
      <c r="R28" s="1"/>
      <c r="S28" s="1"/>
      <c r="T28" s="1"/>
      <c r="V28" s="1"/>
      <c r="W28" s="1"/>
    </row>
    <row r="29" spans="1:24" ht="15.75" customHeight="1">
      <c r="A29" s="1"/>
      <c r="K29" s="1" t="s">
        <v>1177</v>
      </c>
      <c r="L29" s="112">
        <v>200</v>
      </c>
      <c r="M29" s="127">
        <f>L29/M28-L29</f>
        <v>466.66666666666674</v>
      </c>
      <c r="N29" s="127">
        <f>SUM(L29:M29)</f>
        <v>666.66666666666674</v>
      </c>
      <c r="Q29" s="1"/>
      <c r="R29" s="1"/>
      <c r="S29" s="1"/>
      <c r="T29" s="1"/>
      <c r="W29" s="1"/>
    </row>
    <row r="30" spans="1:24" ht="15.75" customHeight="1">
      <c r="A30" s="1" t="s">
        <v>1178</v>
      </c>
      <c r="Q30" s="1"/>
      <c r="R30" s="1"/>
      <c r="S30" s="1"/>
      <c r="T30" s="1"/>
      <c r="W30" s="1"/>
    </row>
    <row r="31" spans="1:24" ht="15.75" customHeight="1">
      <c r="A31" s="1" t="s">
        <v>1179</v>
      </c>
      <c r="M31" s="127"/>
      <c r="Q31" s="1"/>
      <c r="R31" s="1"/>
      <c r="S31" s="1"/>
      <c r="T31" s="1"/>
      <c r="W31" s="1"/>
    </row>
    <row r="32" spans="1:24" ht="15.75" customHeight="1">
      <c r="A32" s="1" t="s">
        <v>1180</v>
      </c>
      <c r="S32" s="1"/>
      <c r="T32" s="1"/>
      <c r="V32" s="1"/>
      <c r="W32" s="1"/>
    </row>
    <row r="33" spans="1:26" ht="15.75" customHeight="1">
      <c r="A33" s="1" t="s">
        <v>1181</v>
      </c>
      <c r="S33" s="1"/>
      <c r="T33" s="1"/>
      <c r="V33" s="1"/>
      <c r="W33" s="1"/>
    </row>
    <row r="34" spans="1:26" ht="15.75" customHeight="1">
      <c r="A34" s="1" t="s">
        <v>1182</v>
      </c>
      <c r="S34" s="114"/>
      <c r="T34" s="1"/>
      <c r="V34" s="1"/>
      <c r="W34" s="1"/>
    </row>
    <row r="35" spans="1:26" ht="15.75" customHeight="1">
      <c r="A35" s="1" t="s">
        <v>1183</v>
      </c>
      <c r="S35" s="114"/>
      <c r="V35" s="1"/>
      <c r="W35" s="1"/>
    </row>
    <row r="36" spans="1:26" ht="15.75" customHeight="1">
      <c r="A36" s="1" t="s">
        <v>1184</v>
      </c>
      <c r="S36" s="114"/>
      <c r="V36" s="1"/>
      <c r="W36" s="1"/>
    </row>
    <row r="37" spans="1:26" ht="15.75" customHeight="1">
      <c r="A37" s="1" t="s">
        <v>1185</v>
      </c>
      <c r="S37" s="114"/>
      <c r="V37" s="1"/>
      <c r="W37" s="1"/>
    </row>
    <row r="38" spans="1:26" ht="15.75" customHeight="1">
      <c r="S38" s="110"/>
      <c r="V38" s="1"/>
      <c r="W38" s="1"/>
    </row>
    <row r="39" spans="1:26" ht="12.75">
      <c r="S39" s="110"/>
      <c r="V39" s="1"/>
      <c r="W39" s="1"/>
    </row>
    <row r="40" spans="1:26" ht="12.75">
      <c r="S40" s="110"/>
      <c r="V40" s="1"/>
      <c r="W40" s="1"/>
    </row>
    <row r="41" spans="1:26" ht="12.75">
      <c r="S41" s="110"/>
      <c r="V41" s="1"/>
      <c r="W41" s="1"/>
    </row>
    <row r="42" spans="1:26" ht="12.75">
      <c r="S42" s="110"/>
      <c r="V42" s="1"/>
      <c r="W42" s="1"/>
    </row>
    <row r="43" spans="1:26" ht="12.75">
      <c r="S43" s="110"/>
      <c r="W43" s="1"/>
      <c r="Z43" s="1"/>
    </row>
    <row r="44" spans="1:26" ht="12.75">
      <c r="S44" s="110"/>
      <c r="V44" s="1"/>
      <c r="W44" s="1"/>
    </row>
    <row r="45" spans="1:26" ht="12.75">
      <c r="S45" s="110"/>
      <c r="W45" s="1"/>
    </row>
    <row r="46" spans="1:26" ht="12.75">
      <c r="S46" s="110"/>
      <c r="V46" s="1"/>
      <c r="W46" s="1"/>
    </row>
    <row r="47" spans="1:26" ht="12.75">
      <c r="S47" s="110"/>
      <c r="W47" s="1"/>
    </row>
    <row r="48" spans="1:26" ht="12.75">
      <c r="S48" s="110"/>
      <c r="W48" s="1"/>
    </row>
    <row r="49" spans="19:23" ht="12.75">
      <c r="S49" s="110"/>
      <c r="W49" s="1"/>
    </row>
    <row r="50" spans="19:23" ht="12.75">
      <c r="S50" s="110"/>
    </row>
    <row r="51" spans="19:23" ht="12.75">
      <c r="S51" s="110"/>
    </row>
    <row r="52" spans="19:23" ht="12.75">
      <c r="S52" s="1"/>
      <c r="T52" s="1"/>
      <c r="W52" s="1"/>
    </row>
    <row r="53" spans="19:23" ht="12.75">
      <c r="S53" s="1"/>
      <c r="T53" s="1"/>
      <c r="W53" s="1"/>
    </row>
    <row r="54" spans="19:23" ht="12.75">
      <c r="S54" s="1"/>
      <c r="T54" s="1"/>
      <c r="V54" s="1"/>
    </row>
    <row r="55" spans="19:23" ht="12.75">
      <c r="S55" s="1"/>
      <c r="T55" s="1"/>
      <c r="W55" s="1"/>
    </row>
    <row r="56" spans="19:23" ht="12.75">
      <c r="S56" s="1"/>
      <c r="T56" s="1"/>
    </row>
    <row r="57" spans="19:23" ht="12.75">
      <c r="S57" s="1"/>
      <c r="T57" s="1"/>
      <c r="W57" s="1"/>
    </row>
    <row r="58" spans="19:23" ht="12.75">
      <c r="S58" s="1"/>
      <c r="T58" s="1"/>
      <c r="W58" s="1"/>
    </row>
    <row r="59" spans="19:23" ht="12.75">
      <c r="S59" s="1"/>
      <c r="T59" s="1"/>
      <c r="W59" s="1"/>
    </row>
    <row r="60" spans="19:23" ht="12.75">
      <c r="S60" s="114"/>
      <c r="T60" s="1"/>
    </row>
    <row r="61" spans="19:23" ht="12.75">
      <c r="S61" s="114"/>
      <c r="V61" s="1"/>
    </row>
    <row r="62" spans="19:23" ht="12.75">
      <c r="S62" s="114"/>
      <c r="V62" s="1"/>
      <c r="W62" s="1"/>
    </row>
    <row r="63" spans="19:23" ht="12.75">
      <c r="S63" s="114"/>
      <c r="W63" s="1"/>
    </row>
    <row r="64" spans="19:23" ht="12.75">
      <c r="S64" s="110"/>
      <c r="V64" s="1"/>
      <c r="W64" s="1"/>
    </row>
    <row r="65" spans="19:26" ht="12.75">
      <c r="S65" s="110"/>
      <c r="W65" s="1"/>
    </row>
    <row r="66" spans="19:26" ht="12.75">
      <c r="S66" s="110"/>
      <c r="V66" s="1"/>
      <c r="W66" s="1"/>
    </row>
    <row r="67" spans="19:26" ht="12.75">
      <c r="S67" s="110"/>
    </row>
    <row r="68" spans="19:26" ht="12.75">
      <c r="S68" s="110"/>
      <c r="W68" s="1"/>
    </row>
    <row r="69" spans="19:26" ht="12.75">
      <c r="S69" s="110"/>
      <c r="V69" s="1"/>
      <c r="W69" s="1"/>
    </row>
    <row r="70" spans="19:26" ht="12.75">
      <c r="S70" s="110"/>
      <c r="W70" s="1"/>
    </row>
    <row r="71" spans="19:26" ht="12.75">
      <c r="S71" s="110"/>
    </row>
    <row r="72" spans="19:26" ht="12.75">
      <c r="S72" s="110"/>
      <c r="X72" s="1"/>
      <c r="Z72" s="1"/>
    </row>
    <row r="73" spans="19:26" ht="12.75">
      <c r="S73" s="110"/>
    </row>
    <row r="74" spans="19:26" ht="12.75">
      <c r="S74" s="110"/>
      <c r="W74" s="1"/>
    </row>
    <row r="75" spans="19:26" ht="12.75">
      <c r="S75" s="110"/>
    </row>
    <row r="76" spans="19:26" ht="12.75">
      <c r="S76" s="110"/>
      <c r="W76" s="1"/>
    </row>
    <row r="77" spans="19:26" ht="12.75">
      <c r="S77" s="110"/>
      <c r="W77" s="1"/>
    </row>
    <row r="78" spans="19:26" ht="12.75">
      <c r="S78" s="1"/>
      <c r="T78" s="1"/>
    </row>
    <row r="79" spans="19:26" ht="12.75">
      <c r="S79" s="1"/>
      <c r="T79" s="1"/>
    </row>
    <row r="80" spans="19:26" ht="12.75">
      <c r="S80" s="1"/>
      <c r="T80" s="1"/>
      <c r="W80" s="1"/>
    </row>
    <row r="81" spans="19:23" ht="12.75">
      <c r="S81" s="1"/>
      <c r="T81" s="1"/>
      <c r="W81" s="1"/>
    </row>
    <row r="82" spans="19:23" ht="12.75">
      <c r="S82" s="1"/>
      <c r="T82" s="1"/>
      <c r="W82" s="1"/>
    </row>
    <row r="83" spans="19:23" ht="12.75">
      <c r="S83" s="1"/>
      <c r="T83" s="1"/>
      <c r="W83" s="1"/>
    </row>
    <row r="84" spans="19:23" ht="12.75">
      <c r="S84" s="1"/>
      <c r="T84" s="1"/>
      <c r="V84" s="1"/>
      <c r="W84" s="1"/>
    </row>
    <row r="85" spans="19:23" ht="12.75">
      <c r="S85" s="1"/>
      <c r="T85" s="1"/>
      <c r="W85"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
  <sheetViews>
    <sheetView workbookViewId="0"/>
  </sheetViews>
  <sheetFormatPr defaultColWidth="14.42578125" defaultRowHeight="15.75" customHeight="1"/>
  <cols>
    <col min="3" max="3" width="14" customWidth="1"/>
    <col min="4" max="4" width="14.7109375" customWidth="1"/>
    <col min="6" max="6" width="25.28515625" customWidth="1"/>
    <col min="7" max="8" width="22" customWidth="1"/>
    <col min="9" max="9" width="20.42578125" customWidth="1"/>
    <col min="10" max="10" width="18.42578125" customWidth="1"/>
    <col min="11" max="12" width="17.140625" customWidth="1"/>
    <col min="13" max="13" width="25.28515625" customWidth="1"/>
    <col min="14" max="14" width="27.28515625" customWidth="1"/>
  </cols>
  <sheetData>
    <row r="1" spans="1:15" ht="15.75" customHeight="1">
      <c r="A1" s="5" t="s">
        <v>118</v>
      </c>
      <c r="J1" s="1" t="s">
        <v>119</v>
      </c>
      <c r="K1" s="1">
        <v>1.6</v>
      </c>
      <c r="N1" s="1" t="s">
        <v>120</v>
      </c>
    </row>
    <row r="2" spans="1:15" ht="15.75" customHeight="1">
      <c r="B2" s="1" t="s">
        <v>121</v>
      </c>
      <c r="J2" s="1" t="s">
        <v>122</v>
      </c>
      <c r="K2" s="1">
        <v>363</v>
      </c>
      <c r="N2">
        <f>K14/(K8*1000)*K7</f>
        <v>81.995294117647077</v>
      </c>
    </row>
    <row r="3" spans="1:15" ht="15.75" customHeight="1">
      <c r="A3" s="1">
        <v>1</v>
      </c>
      <c r="B3" s="1" t="s">
        <v>123</v>
      </c>
    </row>
    <row r="4" spans="1:15" ht="15.75" customHeight="1">
      <c r="A4" s="1">
        <f t="shared" ref="A4:A16" si="0">A3+1</f>
        <v>2</v>
      </c>
      <c r="B4" s="1" t="s">
        <v>124</v>
      </c>
      <c r="J4" s="1" t="s">
        <v>125</v>
      </c>
      <c r="K4" s="1">
        <v>4</v>
      </c>
    </row>
    <row r="5" spans="1:15" ht="15.75" customHeight="1">
      <c r="A5" s="1">
        <f t="shared" si="0"/>
        <v>3</v>
      </c>
      <c r="B5" s="1" t="s">
        <v>126</v>
      </c>
      <c r="N5" s="1" t="s">
        <v>127</v>
      </c>
    </row>
    <row r="6" spans="1:15" ht="15.75" customHeight="1">
      <c r="A6" s="1">
        <f t="shared" si="0"/>
        <v>4</v>
      </c>
      <c r="B6" s="1" t="s">
        <v>128</v>
      </c>
      <c r="J6" s="1" t="s">
        <v>129</v>
      </c>
      <c r="K6" s="1">
        <v>100</v>
      </c>
      <c r="L6" s="1" t="s">
        <v>130</v>
      </c>
      <c r="N6">
        <f>120/1200*N2*0.001</f>
        <v>8.1995294117647079E-3</v>
      </c>
      <c r="O6" s="1" t="s">
        <v>70</v>
      </c>
    </row>
    <row r="7" spans="1:15" ht="15.75" customHeight="1">
      <c r="A7" s="1">
        <f t="shared" si="0"/>
        <v>5</v>
      </c>
      <c r="B7" s="1" t="s">
        <v>131</v>
      </c>
      <c r="J7" s="1" t="s">
        <v>132</v>
      </c>
      <c r="K7" s="1">
        <f>K1*K2*K4*K6*0.001</f>
        <v>232.32000000000002</v>
      </c>
      <c r="L7" s="1" t="s">
        <v>133</v>
      </c>
      <c r="M7" s="1" t="s">
        <v>134</v>
      </c>
      <c r="N7">
        <f>(120/1000)/N6</f>
        <v>14.634986225895313</v>
      </c>
      <c r="O7" s="1" t="s">
        <v>135</v>
      </c>
    </row>
    <row r="8" spans="1:15" ht="15.75" customHeight="1">
      <c r="A8" s="1">
        <f t="shared" si="0"/>
        <v>6</v>
      </c>
      <c r="B8" s="1" t="s">
        <v>136</v>
      </c>
      <c r="J8" s="1" t="s">
        <v>137</v>
      </c>
      <c r="K8" s="1">
        <v>1.7</v>
      </c>
      <c r="L8" s="1" t="s">
        <v>63</v>
      </c>
    </row>
    <row r="9" spans="1:15" ht="15.75" customHeight="1">
      <c r="A9" s="1">
        <f t="shared" si="0"/>
        <v>7</v>
      </c>
      <c r="B9" s="1" t="s">
        <v>138</v>
      </c>
      <c r="J9" s="1" t="s">
        <v>139</v>
      </c>
      <c r="K9">
        <f>K7/K8</f>
        <v>136.65882352941179</v>
      </c>
      <c r="L9" s="1" t="s">
        <v>140</v>
      </c>
      <c r="N9" s="1" t="s">
        <v>141</v>
      </c>
    </row>
    <row r="10" spans="1:15" ht="15.75" customHeight="1">
      <c r="A10" s="1">
        <f t="shared" si="0"/>
        <v>8</v>
      </c>
      <c r="B10" s="1" t="s">
        <v>142</v>
      </c>
      <c r="N10">
        <f>K12*(120/1000)/1000</f>
        <v>4.9197176470588246E-3</v>
      </c>
      <c r="O10" s="1" t="s">
        <v>70</v>
      </c>
    </row>
    <row r="11" spans="1:15" ht="15.75" customHeight="1">
      <c r="A11" s="1">
        <f t="shared" si="0"/>
        <v>9</v>
      </c>
      <c r="B11" s="1" t="s">
        <v>143</v>
      </c>
      <c r="J11" s="1" t="s">
        <v>144</v>
      </c>
      <c r="K11">
        <f>C38/F38</f>
        <v>0.3</v>
      </c>
    </row>
    <row r="12" spans="1:15" ht="15.75" customHeight="1">
      <c r="A12" s="1">
        <f t="shared" si="0"/>
        <v>10</v>
      </c>
      <c r="B12" s="1" t="s">
        <v>145</v>
      </c>
      <c r="J12" s="1" t="s">
        <v>146</v>
      </c>
      <c r="K12">
        <f>K11*K9</f>
        <v>40.997647058823539</v>
      </c>
      <c r="L12" s="1" t="s">
        <v>140</v>
      </c>
    </row>
    <row r="13" spans="1:15" ht="15.75" customHeight="1">
      <c r="A13" s="1">
        <f t="shared" si="0"/>
        <v>11</v>
      </c>
      <c r="B13" s="1" t="s">
        <v>147</v>
      </c>
    </row>
    <row r="14" spans="1:15" ht="15.75" customHeight="1">
      <c r="A14" s="1">
        <f t="shared" si="0"/>
        <v>12</v>
      </c>
      <c r="B14" s="1" t="s">
        <v>148</v>
      </c>
      <c r="J14" s="1" t="s">
        <v>149</v>
      </c>
      <c r="K14" s="1">
        <v>600</v>
      </c>
      <c r="L14" s="1" t="s">
        <v>150</v>
      </c>
      <c r="N14">
        <f>(120/1000)/N10</f>
        <v>24.391643709825523</v>
      </c>
    </row>
    <row r="15" spans="1:15" ht="15.75" customHeight="1">
      <c r="A15" s="1">
        <f t="shared" si="0"/>
        <v>13</v>
      </c>
      <c r="B15" s="1" t="s">
        <v>151</v>
      </c>
    </row>
    <row r="16" spans="1:15" ht="15.75" customHeight="1">
      <c r="A16" s="1">
        <f t="shared" si="0"/>
        <v>14</v>
      </c>
      <c r="B16" s="1" t="s">
        <v>152</v>
      </c>
    </row>
    <row r="17" spans="1:14" ht="15.75" customHeight="1">
      <c r="B17" s="1"/>
      <c r="C17" s="1"/>
      <c r="D17" s="1"/>
    </row>
    <row r="18" spans="1:14" ht="15.75" customHeight="1">
      <c r="B18" s="1" t="s">
        <v>153</v>
      </c>
      <c r="C18" s="1" t="s">
        <v>154</v>
      </c>
      <c r="D18" s="1" t="s">
        <v>155</v>
      </c>
      <c r="E18" s="1" t="s">
        <v>156</v>
      </c>
      <c r="F18" s="1" t="s">
        <v>157</v>
      </c>
      <c r="G18" s="7" t="s">
        <v>158</v>
      </c>
      <c r="H18" s="7" t="s">
        <v>159</v>
      </c>
      <c r="I18" s="7" t="s">
        <v>160</v>
      </c>
      <c r="J18" s="7" t="s">
        <v>161</v>
      </c>
      <c r="K18" s="1"/>
      <c r="L18" s="1"/>
      <c r="M18" s="1"/>
      <c r="N18" s="1"/>
    </row>
    <row r="19" spans="1:14" ht="15.75" customHeight="1">
      <c r="A19" s="1" t="s">
        <v>17</v>
      </c>
      <c r="B19" s="1">
        <v>5</v>
      </c>
      <c r="C19" s="1">
        <v>0.47610000000000002</v>
      </c>
      <c r="D19" s="1">
        <v>0.59330000000000005</v>
      </c>
      <c r="E19" s="1" t="s">
        <v>17</v>
      </c>
      <c r="F19" s="188">
        <f>AVERAGE(D19:D21)</f>
        <v>0.5961333333333334</v>
      </c>
      <c r="G19">
        <f>STDEV(D19:D21)</f>
        <v>2.4583192089989575E-3</v>
      </c>
      <c r="H19">
        <f t="shared" ref="H19:H33" si="1">C19-$F$51</f>
        <v>0.46610000000000001</v>
      </c>
      <c r="I19">
        <f t="shared" ref="I19:I33" si="2">D19-H19</f>
        <v>0.12720000000000004</v>
      </c>
      <c r="J19" s="1">
        <f>L41*(200/1000)</f>
        <v>0.19700000000000001</v>
      </c>
    </row>
    <row r="20" spans="1:14" ht="15.75" customHeight="1">
      <c r="A20" s="1" t="s">
        <v>18</v>
      </c>
      <c r="B20" s="1">
        <v>5</v>
      </c>
      <c r="C20" s="1">
        <v>0.48</v>
      </c>
      <c r="D20" s="1">
        <v>0.59770000000000001</v>
      </c>
      <c r="E20" s="1" t="s">
        <v>18</v>
      </c>
      <c r="F20" s="186"/>
      <c r="H20">
        <f t="shared" si="1"/>
        <v>0.47</v>
      </c>
      <c r="I20">
        <f t="shared" si="2"/>
        <v>0.12770000000000004</v>
      </c>
      <c r="J20" s="1"/>
    </row>
    <row r="21" spans="1:14" ht="15.75" customHeight="1">
      <c r="A21" s="1" t="s">
        <v>19</v>
      </c>
      <c r="B21" s="1">
        <v>5</v>
      </c>
      <c r="C21" s="1">
        <v>0.48020000000000002</v>
      </c>
      <c r="D21" s="1">
        <v>0.59740000000000004</v>
      </c>
      <c r="E21" s="1" t="s">
        <v>19</v>
      </c>
      <c r="F21" s="186"/>
      <c r="H21">
        <f t="shared" si="1"/>
        <v>0.47020000000000001</v>
      </c>
      <c r="I21">
        <f t="shared" si="2"/>
        <v>0.12720000000000004</v>
      </c>
      <c r="J21" s="1"/>
    </row>
    <row r="22" spans="1:14" ht="15.75" customHeight="1">
      <c r="A22" s="1" t="s">
        <v>20</v>
      </c>
      <c r="B22" s="1">
        <v>15</v>
      </c>
      <c r="C22" s="1">
        <v>0.47639999999999999</v>
      </c>
      <c r="D22" s="1">
        <v>0.50480000000000003</v>
      </c>
      <c r="E22" s="1" t="s">
        <v>20</v>
      </c>
      <c r="F22" s="187">
        <f>AVERAGE(D22:D24)</f>
        <v>0.5114333333333333</v>
      </c>
      <c r="G22">
        <f>STDEV(D22:D24)</f>
        <v>8.5629044916624725E-3</v>
      </c>
      <c r="H22">
        <f t="shared" si="1"/>
        <v>0.46639999999999998</v>
      </c>
      <c r="I22">
        <f t="shared" si="2"/>
        <v>3.8400000000000045E-2</v>
      </c>
      <c r="J22" s="1"/>
    </row>
    <row r="23" spans="1:14" ht="15.75" customHeight="1">
      <c r="A23" s="1" t="s">
        <v>21</v>
      </c>
      <c r="B23" s="1">
        <v>15</v>
      </c>
      <c r="C23" s="1">
        <v>0.47589999999999999</v>
      </c>
      <c r="D23" s="1">
        <v>0.52110000000000001</v>
      </c>
      <c r="E23" s="1" t="s">
        <v>21</v>
      </c>
      <c r="F23" s="186"/>
      <c r="H23">
        <f t="shared" si="1"/>
        <v>0.46589999999999998</v>
      </c>
      <c r="I23">
        <f t="shared" si="2"/>
        <v>5.5200000000000027E-2</v>
      </c>
      <c r="J23" s="1"/>
    </row>
    <row r="24" spans="1:14" ht="15.75" customHeight="1">
      <c r="A24" s="1" t="s">
        <v>22</v>
      </c>
      <c r="B24" s="1">
        <v>15</v>
      </c>
      <c r="C24" s="1">
        <v>0.48110000000000003</v>
      </c>
      <c r="D24" s="1">
        <v>0.50839999999999996</v>
      </c>
      <c r="E24" s="1" t="s">
        <v>22</v>
      </c>
      <c r="F24" s="186"/>
      <c r="H24">
        <f t="shared" si="1"/>
        <v>0.47110000000000002</v>
      </c>
      <c r="I24">
        <f t="shared" si="2"/>
        <v>3.7299999999999944E-2</v>
      </c>
      <c r="J24" s="1"/>
      <c r="K24" s="5" t="s">
        <v>162</v>
      </c>
    </row>
    <row r="25" spans="1:14" ht="15.75" customHeight="1">
      <c r="A25" s="1" t="s">
        <v>23</v>
      </c>
      <c r="B25" s="1">
        <v>25</v>
      </c>
      <c r="C25" s="1">
        <v>0.47049999999999997</v>
      </c>
      <c r="D25" s="1">
        <v>0.49390000000000001</v>
      </c>
      <c r="E25" s="1" t="s">
        <v>23</v>
      </c>
      <c r="F25" s="187">
        <f>AVERAGE(D25:D27)</f>
        <v>0.48536666666666667</v>
      </c>
      <c r="G25">
        <f>STDEV(D25:D27)</f>
        <v>1.3251918100159426E-2</v>
      </c>
      <c r="H25">
        <f t="shared" si="1"/>
        <v>0.46049999999999996</v>
      </c>
      <c r="I25">
        <f t="shared" si="2"/>
        <v>3.3400000000000041E-2</v>
      </c>
      <c r="J25" s="1"/>
      <c r="K25" s="1" t="s">
        <v>163</v>
      </c>
    </row>
    <row r="26" spans="1:14" ht="15.75" customHeight="1">
      <c r="A26" s="1" t="s">
        <v>24</v>
      </c>
      <c r="B26" s="1">
        <v>25</v>
      </c>
      <c r="C26" s="1">
        <v>0.47289999999999999</v>
      </c>
      <c r="D26" s="1">
        <v>0.47010000000000002</v>
      </c>
      <c r="E26" s="1" t="s">
        <v>24</v>
      </c>
      <c r="F26" s="186"/>
      <c r="H26">
        <f t="shared" si="1"/>
        <v>0.46289999999999998</v>
      </c>
      <c r="I26">
        <f t="shared" si="2"/>
        <v>7.2000000000000397E-3</v>
      </c>
      <c r="J26" s="1"/>
    </row>
    <row r="27" spans="1:14" ht="15.75" customHeight="1">
      <c r="A27" s="1" t="s">
        <v>25</v>
      </c>
      <c r="B27" s="1">
        <v>25</v>
      </c>
      <c r="C27" s="1">
        <v>0.47489999999999999</v>
      </c>
      <c r="D27" s="1">
        <v>0.49209999999999998</v>
      </c>
      <c r="E27" s="1" t="s">
        <v>25</v>
      </c>
      <c r="F27" s="186"/>
      <c r="H27">
        <f t="shared" si="1"/>
        <v>0.46489999999999998</v>
      </c>
      <c r="I27">
        <f t="shared" si="2"/>
        <v>2.7200000000000002E-2</v>
      </c>
      <c r="J27" s="1"/>
    </row>
    <row r="28" spans="1:14" ht="15.75" customHeight="1">
      <c r="A28" s="1" t="s">
        <v>26</v>
      </c>
      <c r="B28" s="1">
        <v>35</v>
      </c>
      <c r="C28" s="1">
        <v>0.47720000000000001</v>
      </c>
      <c r="D28" s="1">
        <v>0.47070000000000001</v>
      </c>
      <c r="E28" s="1" t="s">
        <v>29</v>
      </c>
      <c r="F28" s="187">
        <f>AVERAGE(D28:D30)</f>
        <v>0.47383333333333333</v>
      </c>
      <c r="G28">
        <f>STDEV(D28:D30)</f>
        <v>2.7209067116190084E-3</v>
      </c>
      <c r="H28">
        <f t="shared" si="1"/>
        <v>0.4672</v>
      </c>
      <c r="I28">
        <f t="shared" si="2"/>
        <v>3.5000000000000031E-3</v>
      </c>
      <c r="J28" s="1"/>
    </row>
    <row r="29" spans="1:14" ht="15.75" customHeight="1">
      <c r="A29" s="1" t="s">
        <v>27</v>
      </c>
      <c r="B29" s="1">
        <v>35</v>
      </c>
      <c r="C29" s="1">
        <v>0.48220000000000002</v>
      </c>
      <c r="D29" s="1">
        <v>0.47520000000000001</v>
      </c>
      <c r="E29" s="1" t="s">
        <v>30</v>
      </c>
      <c r="F29" s="186"/>
      <c r="H29">
        <f t="shared" si="1"/>
        <v>0.47220000000000001</v>
      </c>
      <c r="I29">
        <f t="shared" si="2"/>
        <v>3.0000000000000027E-3</v>
      </c>
      <c r="J29" s="1"/>
    </row>
    <row r="30" spans="1:14" ht="15.75" customHeight="1">
      <c r="A30" s="1" t="s">
        <v>28</v>
      </c>
      <c r="B30" s="1">
        <v>35</v>
      </c>
      <c r="C30" s="1">
        <v>0.48149999999999998</v>
      </c>
      <c r="D30" s="1">
        <v>0.47560000000000002</v>
      </c>
      <c r="E30" s="1" t="s">
        <v>31</v>
      </c>
      <c r="F30" s="186"/>
      <c r="H30">
        <f t="shared" si="1"/>
        <v>0.47149999999999997</v>
      </c>
      <c r="I30">
        <f t="shared" si="2"/>
        <v>4.1000000000000481E-3</v>
      </c>
      <c r="J30" s="1"/>
    </row>
    <row r="31" spans="1:14" ht="15.75" customHeight="1">
      <c r="A31" s="1" t="s">
        <v>29</v>
      </c>
      <c r="B31" s="1">
        <v>45</v>
      </c>
      <c r="C31" s="1">
        <v>0.47589999999999999</v>
      </c>
      <c r="D31" s="1">
        <v>0.46850000000000003</v>
      </c>
      <c r="E31" s="1" t="s">
        <v>26</v>
      </c>
      <c r="F31" s="187">
        <f>AVERAGE(D31:D33)</f>
        <v>0.4698</v>
      </c>
      <c r="G31">
        <f>STDEV(D31:D33)</f>
        <v>2.8792360097776013E-3</v>
      </c>
      <c r="H31">
        <f t="shared" si="1"/>
        <v>0.46589999999999998</v>
      </c>
      <c r="I31">
        <f t="shared" si="2"/>
        <v>2.6000000000000467E-3</v>
      </c>
      <c r="J31" s="1"/>
    </row>
    <row r="32" spans="1:14" ht="15.75" customHeight="1">
      <c r="A32" s="1" t="s">
        <v>30</v>
      </c>
      <c r="B32" s="1">
        <v>45</v>
      </c>
      <c r="C32" s="1">
        <v>0.47549999999999998</v>
      </c>
      <c r="D32" s="1">
        <v>0.46779999999999999</v>
      </c>
      <c r="E32" s="1" t="s">
        <v>27</v>
      </c>
      <c r="F32" s="186"/>
      <c r="H32">
        <f t="shared" si="1"/>
        <v>0.46549999999999997</v>
      </c>
      <c r="I32">
        <f t="shared" si="2"/>
        <v>2.3000000000000242E-3</v>
      </c>
      <c r="J32" s="1"/>
    </row>
    <row r="33" spans="1:13" ht="15.75" customHeight="1">
      <c r="A33" s="1" t="s">
        <v>31</v>
      </c>
      <c r="B33" s="1">
        <v>45</v>
      </c>
      <c r="C33" s="1">
        <v>0.47799999999999998</v>
      </c>
      <c r="D33" s="1">
        <v>0.47310000000000002</v>
      </c>
      <c r="E33" s="1" t="s">
        <v>28</v>
      </c>
      <c r="F33" s="186"/>
      <c r="H33">
        <f t="shared" si="1"/>
        <v>0.46799999999999997</v>
      </c>
      <c r="I33">
        <f t="shared" si="2"/>
        <v>5.1000000000000489E-3</v>
      </c>
      <c r="J33" s="1"/>
    </row>
    <row r="35" spans="1:13" ht="15.75" customHeight="1">
      <c r="B35" s="1" t="s">
        <v>44</v>
      </c>
      <c r="C35" s="1">
        <v>0.3</v>
      </c>
    </row>
    <row r="36" spans="1:13" ht="15.75" customHeight="1">
      <c r="B36" s="1" t="s">
        <v>45</v>
      </c>
      <c r="C36" s="1" t="s">
        <v>46</v>
      </c>
      <c r="D36" s="1" t="s">
        <v>47</v>
      </c>
      <c r="F36" s="1" t="s">
        <v>48</v>
      </c>
      <c r="I36">
        <f>15*200</f>
        <v>3000</v>
      </c>
    </row>
    <row r="37" spans="1:13" ht="15.75" customHeight="1">
      <c r="B37" s="1"/>
      <c r="C37" s="1" t="s">
        <v>50</v>
      </c>
      <c r="D37" s="189" t="s">
        <v>164</v>
      </c>
      <c r="E37" s="186"/>
    </row>
    <row r="38" spans="1:13" ht="15.75" customHeight="1">
      <c r="B38" s="1" t="s">
        <v>52</v>
      </c>
      <c r="C38" s="1">
        <v>1500</v>
      </c>
      <c r="D38">
        <f>C38/$C$35-C38</f>
        <v>3500</v>
      </c>
      <c r="F38">
        <f>C38+D38</f>
        <v>5000</v>
      </c>
    </row>
    <row r="40" spans="1:13" ht="12.75">
      <c r="A40" s="1" t="s">
        <v>165</v>
      </c>
      <c r="F40" s="1" t="s">
        <v>166</v>
      </c>
      <c r="I40" s="1">
        <v>0.2</v>
      </c>
      <c r="J40" s="1" t="s">
        <v>70</v>
      </c>
    </row>
    <row r="41" spans="1:13" ht="12.75">
      <c r="A41" s="1" t="s">
        <v>167</v>
      </c>
      <c r="F41" s="1" t="s">
        <v>168</v>
      </c>
      <c r="I41" s="1">
        <v>0.19700000000000001</v>
      </c>
      <c r="J41" s="1" t="s">
        <v>70</v>
      </c>
      <c r="K41" s="1" t="s">
        <v>169</v>
      </c>
      <c r="L41">
        <f>(0.197/2)/(100/1000)</f>
        <v>0.98499999999999999</v>
      </c>
      <c r="M41" s="1" t="s">
        <v>56</v>
      </c>
    </row>
    <row r="42" spans="1:13" ht="12.75">
      <c r="A42" s="1" t="s">
        <v>170</v>
      </c>
    </row>
    <row r="44" spans="1:13" ht="12.75">
      <c r="A44" s="10" t="s">
        <v>171</v>
      </c>
      <c r="J44" s="1" t="s">
        <v>172</v>
      </c>
      <c r="K44" s="1" t="s">
        <v>173</v>
      </c>
    </row>
    <row r="45" spans="1:13" ht="12.75">
      <c r="A45" s="1" t="s">
        <v>174</v>
      </c>
      <c r="J45" s="1" t="s">
        <v>175</v>
      </c>
    </row>
    <row r="46" spans="1:13" ht="12.75">
      <c r="A46" s="1" t="s">
        <v>176</v>
      </c>
      <c r="J46" s="1" t="s">
        <v>177</v>
      </c>
    </row>
    <row r="47" spans="1:13" ht="12.75">
      <c r="A47" s="1" t="s">
        <v>178</v>
      </c>
    </row>
    <row r="48" spans="1:13" ht="12.75">
      <c r="J48" s="1"/>
    </row>
    <row r="49" spans="1:10" ht="12.75">
      <c r="B49" s="1" t="s">
        <v>179</v>
      </c>
      <c r="J49" s="1"/>
    </row>
    <row r="50" spans="1:10" ht="12.75">
      <c r="B50" s="1" t="s">
        <v>180</v>
      </c>
      <c r="C50" s="1" t="s">
        <v>181</v>
      </c>
      <c r="D50" s="1" t="s">
        <v>182</v>
      </c>
      <c r="F50" s="1" t="s">
        <v>183</v>
      </c>
      <c r="J50" s="1"/>
    </row>
    <row r="51" spans="1:10" ht="12.75">
      <c r="A51" s="1">
        <v>1</v>
      </c>
      <c r="B51" s="1">
        <v>0.47210000000000002</v>
      </c>
      <c r="C51" s="1">
        <v>0.46779999999999999</v>
      </c>
      <c r="D51">
        <f t="shared" ref="D51:D53" si="3">B51-C51</f>
        <v>4.300000000000026E-3</v>
      </c>
      <c r="F51" s="187">
        <v>0.01</v>
      </c>
      <c r="J51" s="1"/>
    </row>
    <row r="52" spans="1:10" ht="12.75">
      <c r="A52" s="1">
        <v>2</v>
      </c>
      <c r="B52" s="1">
        <v>0.47839999999999999</v>
      </c>
      <c r="C52" s="1">
        <v>0.47089999999999999</v>
      </c>
      <c r="D52">
        <f t="shared" si="3"/>
        <v>7.5000000000000067E-3</v>
      </c>
      <c r="F52" s="186"/>
    </row>
    <row r="53" spans="1:10" ht="12.75">
      <c r="A53" s="1">
        <v>3</v>
      </c>
      <c r="B53" s="1">
        <v>0.47499999999999998</v>
      </c>
      <c r="C53" s="1">
        <v>0.47099999999999997</v>
      </c>
      <c r="D53">
        <f t="shared" si="3"/>
        <v>4.0000000000000036E-3</v>
      </c>
      <c r="F53" s="186"/>
    </row>
    <row r="56" spans="1:10" ht="12.75">
      <c r="B56" s="1" t="s">
        <v>184</v>
      </c>
    </row>
    <row r="57" spans="1:10" ht="12.75">
      <c r="B57" s="1" t="s">
        <v>180</v>
      </c>
      <c r="C57" s="1" t="s">
        <v>185</v>
      </c>
      <c r="D57" s="1" t="s">
        <v>182</v>
      </c>
    </row>
    <row r="58" spans="1:10" ht="12.75">
      <c r="A58" s="1">
        <v>1</v>
      </c>
      <c r="B58" s="1">
        <v>0.46700000000000003</v>
      </c>
    </row>
    <row r="59" spans="1:10" ht="12.75">
      <c r="A59" s="1">
        <v>2</v>
      </c>
      <c r="B59" s="1">
        <v>0.46700000000000003</v>
      </c>
    </row>
    <row r="60" spans="1:10" ht="12.75">
      <c r="A60" s="1">
        <v>3</v>
      </c>
      <c r="B60" s="1">
        <v>0.45850000000000002</v>
      </c>
    </row>
    <row r="61" spans="1:10" ht="12.75">
      <c r="A61" s="1">
        <v>4</v>
      </c>
      <c r="B61" s="1">
        <v>0.46429999999999999</v>
      </c>
    </row>
    <row r="62" spans="1:10" ht="12.75">
      <c r="A62" s="1">
        <v>5</v>
      </c>
      <c r="B62" s="1">
        <v>0.45739999999999997</v>
      </c>
    </row>
    <row r="63" spans="1:10" ht="12.75">
      <c r="A63" s="1">
        <v>6</v>
      </c>
      <c r="B63" s="1">
        <v>0.46700000000000003</v>
      </c>
    </row>
  </sheetData>
  <mergeCells count="7">
    <mergeCell ref="F22:F24"/>
    <mergeCell ref="F19:F21"/>
    <mergeCell ref="F51:F53"/>
    <mergeCell ref="F31:F33"/>
    <mergeCell ref="D37:E37"/>
    <mergeCell ref="F28:F30"/>
    <mergeCell ref="F25:F27"/>
  </mergeCells>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7"/>
  <sheetViews>
    <sheetView workbookViewId="0"/>
  </sheetViews>
  <sheetFormatPr defaultColWidth="14.42578125" defaultRowHeight="15.75" customHeight="1"/>
  <cols>
    <col min="5" max="5" width="16.28515625" customWidth="1"/>
    <col min="6" max="6" width="16.42578125" customWidth="1"/>
  </cols>
  <sheetData>
    <row r="1" spans="1:22" ht="12.75">
      <c r="A1" s="114" t="s">
        <v>1</v>
      </c>
      <c r="B1" s="114" t="s">
        <v>659</v>
      </c>
      <c r="C1" s="114" t="s">
        <v>660</v>
      </c>
      <c r="D1" s="114" t="s">
        <v>661</v>
      </c>
      <c r="E1" s="114" t="s">
        <v>1032</v>
      </c>
      <c r="F1" s="110" t="s">
        <v>1186</v>
      </c>
      <c r="G1" s="114" t="s">
        <v>97</v>
      </c>
      <c r="H1" s="114" t="s">
        <v>664</v>
      </c>
      <c r="I1" s="114" t="s">
        <v>665</v>
      </c>
      <c r="J1" s="114" t="s">
        <v>666</v>
      </c>
      <c r="K1" s="114" t="s">
        <v>667</v>
      </c>
      <c r="N1" s="1" t="s">
        <v>6</v>
      </c>
      <c r="O1" s="1" t="s">
        <v>7</v>
      </c>
      <c r="P1" s="1" t="s">
        <v>8</v>
      </c>
      <c r="Q1" s="1" t="s">
        <v>9</v>
      </c>
      <c r="R1" s="1" t="s">
        <v>10</v>
      </c>
      <c r="T1" s="166"/>
      <c r="U1" s="166"/>
      <c r="V1" s="166"/>
    </row>
    <row r="2" spans="1:22" ht="12.75">
      <c r="A2" s="114" t="s">
        <v>962</v>
      </c>
      <c r="B2" s="114"/>
      <c r="C2" s="114"/>
      <c r="D2" s="114"/>
      <c r="E2" s="114"/>
      <c r="F2" s="114"/>
      <c r="G2" s="114"/>
      <c r="H2" s="114"/>
      <c r="I2" s="114"/>
      <c r="K2" s="114"/>
      <c r="T2" s="166"/>
      <c r="U2" s="166"/>
      <c r="V2" s="176"/>
    </row>
    <row r="3" spans="1:22" ht="12.75">
      <c r="A3" s="114" t="s">
        <v>17</v>
      </c>
      <c r="B3" s="167" t="s">
        <v>1035</v>
      </c>
      <c r="C3" s="111">
        <v>4</v>
      </c>
      <c r="D3" s="127">
        <f t="shared" ref="D3:D14" si="0">C3+I3/1000</f>
        <v>4.2</v>
      </c>
      <c r="E3" s="110" t="s">
        <v>1187</v>
      </c>
      <c r="F3" s="112" t="s">
        <v>1188</v>
      </c>
      <c r="G3" s="111">
        <v>1</v>
      </c>
      <c r="H3" s="111">
        <v>10</v>
      </c>
      <c r="I3" s="112">
        <v>200</v>
      </c>
      <c r="J3" s="112">
        <v>10</v>
      </c>
      <c r="K3" s="112">
        <v>50</v>
      </c>
      <c r="L3" s="114"/>
      <c r="M3" s="114" t="s">
        <v>17</v>
      </c>
      <c r="N3" s="1">
        <v>11677</v>
      </c>
      <c r="O3" s="1"/>
      <c r="P3" s="1">
        <v>410</v>
      </c>
      <c r="Q3" s="1">
        <v>1090</v>
      </c>
      <c r="R3" s="1">
        <v>82</v>
      </c>
    </row>
    <row r="4" spans="1:22" ht="12.75">
      <c r="A4" s="114" t="s">
        <v>18</v>
      </c>
      <c r="B4" s="167" t="s">
        <v>1035</v>
      </c>
      <c r="C4" s="111">
        <v>4</v>
      </c>
      <c r="D4" s="127">
        <f t="shared" si="0"/>
        <v>4.2</v>
      </c>
      <c r="E4" s="110" t="s">
        <v>1187</v>
      </c>
      <c r="F4" s="112" t="s">
        <v>1188</v>
      </c>
      <c r="G4" s="111">
        <v>1</v>
      </c>
      <c r="H4" s="111">
        <v>10</v>
      </c>
      <c r="I4" s="112">
        <v>200</v>
      </c>
      <c r="J4" s="112">
        <v>10</v>
      </c>
      <c r="K4" s="112">
        <v>50</v>
      </c>
      <c r="L4" s="114"/>
      <c r="M4" s="114" t="s">
        <v>18</v>
      </c>
      <c r="N4" s="1">
        <v>11874</v>
      </c>
      <c r="O4" s="1"/>
      <c r="P4" s="1">
        <v>408</v>
      </c>
      <c r="Q4" s="1">
        <v>1106</v>
      </c>
      <c r="R4" s="1">
        <v>83</v>
      </c>
    </row>
    <row r="5" spans="1:22" ht="12.75">
      <c r="A5" s="114" t="s">
        <v>19</v>
      </c>
      <c r="B5" s="167" t="s">
        <v>1035</v>
      </c>
      <c r="C5" s="111">
        <v>4</v>
      </c>
      <c r="D5" s="127">
        <f t="shared" si="0"/>
        <v>4.2</v>
      </c>
      <c r="E5" s="110" t="s">
        <v>1187</v>
      </c>
      <c r="F5" s="112" t="s">
        <v>1188</v>
      </c>
      <c r="G5" s="111">
        <v>1</v>
      </c>
      <c r="H5" s="111">
        <v>10</v>
      </c>
      <c r="I5" s="112">
        <v>200</v>
      </c>
      <c r="J5" s="112">
        <v>10</v>
      </c>
      <c r="K5" s="112">
        <v>50</v>
      </c>
      <c r="L5" s="114"/>
      <c r="M5" s="114" t="s">
        <v>19</v>
      </c>
      <c r="N5" s="1">
        <v>11463</v>
      </c>
      <c r="P5" s="1">
        <v>409</v>
      </c>
      <c r="Q5" s="1">
        <v>1077</v>
      </c>
      <c r="R5" s="1">
        <v>82</v>
      </c>
    </row>
    <row r="6" spans="1:22" ht="12.75">
      <c r="A6" s="114" t="s">
        <v>20</v>
      </c>
      <c r="B6" s="167" t="s">
        <v>591</v>
      </c>
      <c r="C6" s="112">
        <v>4</v>
      </c>
      <c r="D6" s="127">
        <f t="shared" si="0"/>
        <v>4.2</v>
      </c>
      <c r="E6" s="110" t="s">
        <v>1187</v>
      </c>
      <c r="F6" s="112" t="s">
        <v>1188</v>
      </c>
      <c r="G6" s="112">
        <v>1</v>
      </c>
      <c r="H6" s="111">
        <v>10</v>
      </c>
      <c r="I6" s="112">
        <v>200</v>
      </c>
      <c r="J6" s="112">
        <v>10</v>
      </c>
      <c r="K6" s="112">
        <v>50</v>
      </c>
      <c r="L6" s="114"/>
      <c r="M6" s="114" t="s">
        <v>20</v>
      </c>
      <c r="N6" s="1">
        <v>13279</v>
      </c>
      <c r="P6" s="1">
        <v>454</v>
      </c>
      <c r="Q6" s="1">
        <v>562</v>
      </c>
      <c r="R6" s="1">
        <v>232</v>
      </c>
    </row>
    <row r="7" spans="1:22" ht="12.75">
      <c r="A7" s="114" t="s">
        <v>21</v>
      </c>
      <c r="B7" s="167" t="s">
        <v>591</v>
      </c>
      <c r="C7" s="112">
        <v>4</v>
      </c>
      <c r="D7" s="127">
        <f t="shared" si="0"/>
        <v>4.2</v>
      </c>
      <c r="E7" s="110" t="s">
        <v>1187</v>
      </c>
      <c r="F7" s="112" t="s">
        <v>1188</v>
      </c>
      <c r="G7" s="112">
        <v>1</v>
      </c>
      <c r="H7" s="111">
        <v>10</v>
      </c>
      <c r="I7" s="112">
        <v>200</v>
      </c>
      <c r="J7" s="112">
        <v>10</v>
      </c>
      <c r="K7" s="112">
        <v>50</v>
      </c>
      <c r="L7" s="114"/>
      <c r="M7" s="114" t="s">
        <v>21</v>
      </c>
      <c r="N7" s="1">
        <v>13311</v>
      </c>
      <c r="O7" s="1"/>
      <c r="P7" s="1">
        <v>480</v>
      </c>
      <c r="Q7" s="1">
        <v>513</v>
      </c>
      <c r="R7" s="1">
        <v>252</v>
      </c>
    </row>
    <row r="8" spans="1:22" ht="12.75">
      <c r="A8" s="114" t="s">
        <v>22</v>
      </c>
      <c r="B8" s="167" t="s">
        <v>591</v>
      </c>
      <c r="C8" s="112">
        <v>4</v>
      </c>
      <c r="D8" s="127">
        <f t="shared" si="0"/>
        <v>4.2</v>
      </c>
      <c r="E8" s="110" t="s">
        <v>1187</v>
      </c>
      <c r="F8" s="112" t="s">
        <v>1188</v>
      </c>
      <c r="G8" s="112">
        <v>1</v>
      </c>
      <c r="H8" s="111">
        <v>10</v>
      </c>
      <c r="I8" s="112">
        <v>200</v>
      </c>
      <c r="J8" s="112">
        <v>10</v>
      </c>
      <c r="K8" s="112">
        <v>50</v>
      </c>
      <c r="L8" s="114"/>
      <c r="M8" s="114" t="s">
        <v>22</v>
      </c>
      <c r="N8" s="1">
        <v>13432</v>
      </c>
      <c r="O8" s="1"/>
      <c r="P8" s="1">
        <v>460</v>
      </c>
      <c r="Q8" s="1">
        <v>552</v>
      </c>
      <c r="R8" s="1">
        <v>243</v>
      </c>
    </row>
    <row r="9" spans="1:22" ht="12.75">
      <c r="A9" s="110" t="s">
        <v>23</v>
      </c>
      <c r="B9" s="167" t="s">
        <v>1189</v>
      </c>
      <c r="C9" s="112">
        <v>4</v>
      </c>
      <c r="D9" s="127">
        <f t="shared" si="0"/>
        <v>4.2</v>
      </c>
      <c r="E9" s="110" t="s">
        <v>1187</v>
      </c>
      <c r="F9" s="112" t="s">
        <v>1188</v>
      </c>
      <c r="G9" s="112">
        <v>1</v>
      </c>
      <c r="H9" s="111">
        <v>10</v>
      </c>
      <c r="I9" s="112">
        <v>200</v>
      </c>
      <c r="J9" s="112">
        <v>10</v>
      </c>
      <c r="K9" s="112">
        <v>50</v>
      </c>
      <c r="L9" s="110"/>
      <c r="M9" s="110" t="s">
        <v>23</v>
      </c>
      <c r="N9" s="1">
        <v>13323</v>
      </c>
      <c r="P9" s="1">
        <v>420</v>
      </c>
      <c r="Q9" s="1">
        <v>670</v>
      </c>
      <c r="R9" s="1">
        <v>208</v>
      </c>
    </row>
    <row r="10" spans="1:22" ht="12.75">
      <c r="A10" s="110" t="s">
        <v>24</v>
      </c>
      <c r="B10" s="167" t="s">
        <v>1189</v>
      </c>
      <c r="C10" s="112">
        <v>4</v>
      </c>
      <c r="D10" s="127">
        <f t="shared" si="0"/>
        <v>4.2</v>
      </c>
      <c r="E10" s="110" t="s">
        <v>1187</v>
      </c>
      <c r="F10" s="112" t="s">
        <v>1188</v>
      </c>
      <c r="G10" s="112">
        <v>1</v>
      </c>
      <c r="H10" s="111">
        <v>10</v>
      </c>
      <c r="I10" s="112">
        <v>200</v>
      </c>
      <c r="J10" s="112">
        <v>10</v>
      </c>
      <c r="K10" s="112">
        <v>50</v>
      </c>
      <c r="L10" s="110"/>
      <c r="M10" s="110" t="s">
        <v>24</v>
      </c>
      <c r="N10" s="1">
        <v>11676</v>
      </c>
      <c r="P10" s="1">
        <v>705</v>
      </c>
      <c r="Q10" s="1">
        <v>462</v>
      </c>
      <c r="R10" s="1">
        <v>213</v>
      </c>
    </row>
    <row r="11" spans="1:22" ht="12.75">
      <c r="A11" s="110" t="s">
        <v>25</v>
      </c>
      <c r="B11" s="167" t="s">
        <v>1189</v>
      </c>
      <c r="C11" s="112">
        <v>4</v>
      </c>
      <c r="D11" s="127">
        <f t="shared" si="0"/>
        <v>4.2</v>
      </c>
      <c r="E11" s="110" t="s">
        <v>1187</v>
      </c>
      <c r="F11" s="112" t="s">
        <v>1188</v>
      </c>
      <c r="G11" s="112">
        <v>1</v>
      </c>
      <c r="H11" s="111">
        <v>10</v>
      </c>
      <c r="I11" s="112">
        <v>200</v>
      </c>
      <c r="J11" s="112">
        <v>10</v>
      </c>
      <c r="K11" s="112">
        <v>50</v>
      </c>
      <c r="L11" s="110"/>
      <c r="M11" s="110" t="s">
        <v>25</v>
      </c>
      <c r="N11" s="1">
        <v>13022</v>
      </c>
      <c r="P11" s="1">
        <v>461</v>
      </c>
      <c r="Q11" s="1">
        <v>545</v>
      </c>
      <c r="R11" s="1">
        <v>264</v>
      </c>
    </row>
    <row r="12" spans="1:22" ht="12.75">
      <c r="A12" s="1" t="s">
        <v>26</v>
      </c>
      <c r="B12" s="167" t="s">
        <v>591</v>
      </c>
      <c r="C12" s="112">
        <v>4</v>
      </c>
      <c r="D12" s="127">
        <f t="shared" si="0"/>
        <v>4.2</v>
      </c>
      <c r="E12" s="110" t="s">
        <v>1190</v>
      </c>
      <c r="F12" s="112" t="s">
        <v>1188</v>
      </c>
      <c r="G12" s="112">
        <v>1</v>
      </c>
      <c r="H12" s="111">
        <v>10</v>
      </c>
      <c r="I12" s="112">
        <v>200</v>
      </c>
      <c r="J12" s="112">
        <v>10</v>
      </c>
      <c r="K12" s="112">
        <v>50</v>
      </c>
      <c r="L12" s="110"/>
      <c r="N12" s="1">
        <v>13247</v>
      </c>
      <c r="O12" s="1"/>
      <c r="P12" s="1">
        <v>427</v>
      </c>
      <c r="Q12" s="1">
        <v>528</v>
      </c>
      <c r="R12" s="1">
        <v>244</v>
      </c>
      <c r="S12" s="1"/>
    </row>
    <row r="13" spans="1:22" ht="12.75">
      <c r="A13" s="1" t="s">
        <v>27</v>
      </c>
      <c r="B13" s="167" t="s">
        <v>591</v>
      </c>
      <c r="C13" s="112">
        <v>4</v>
      </c>
      <c r="D13" s="127">
        <f t="shared" si="0"/>
        <v>4.2</v>
      </c>
      <c r="E13" s="110" t="s">
        <v>1190</v>
      </c>
      <c r="F13" s="112" t="s">
        <v>1188</v>
      </c>
      <c r="G13" s="112">
        <v>1</v>
      </c>
      <c r="H13" s="111">
        <v>10</v>
      </c>
      <c r="I13" s="112">
        <v>200</v>
      </c>
      <c r="J13" s="112">
        <v>10</v>
      </c>
      <c r="K13" s="112">
        <v>50</v>
      </c>
      <c r="L13" s="110"/>
      <c r="N13" s="1">
        <v>13246</v>
      </c>
      <c r="O13" s="1"/>
      <c r="P13" s="1">
        <v>394</v>
      </c>
      <c r="Q13" s="1">
        <v>584</v>
      </c>
      <c r="R13" s="1">
        <v>219</v>
      </c>
      <c r="S13" s="1"/>
    </row>
    <row r="14" spans="1:22" ht="12.75">
      <c r="A14" s="1" t="s">
        <v>28</v>
      </c>
      <c r="B14" s="167" t="s">
        <v>591</v>
      </c>
      <c r="C14" s="112">
        <v>4</v>
      </c>
      <c r="D14" s="127">
        <f t="shared" si="0"/>
        <v>4.2</v>
      </c>
      <c r="E14" s="110" t="s">
        <v>1190</v>
      </c>
      <c r="F14" s="112" t="s">
        <v>1188</v>
      </c>
      <c r="G14" s="112">
        <v>1</v>
      </c>
      <c r="H14" s="111">
        <v>10</v>
      </c>
      <c r="I14" s="112">
        <v>200</v>
      </c>
      <c r="J14" s="112">
        <v>10</v>
      </c>
      <c r="K14" s="112">
        <v>50</v>
      </c>
      <c r="L14" s="110"/>
      <c r="N14" s="1">
        <v>12811</v>
      </c>
      <c r="O14" s="1"/>
      <c r="P14" s="1">
        <v>425</v>
      </c>
      <c r="Q14" s="1">
        <v>512</v>
      </c>
      <c r="R14" s="1">
        <v>234</v>
      </c>
      <c r="S14" s="1"/>
    </row>
    <row r="15" spans="1:22" ht="12.75">
      <c r="B15" s="114" t="s">
        <v>300</v>
      </c>
      <c r="C15" s="127">
        <f>SUM(C3:C11)</f>
        <v>36</v>
      </c>
      <c r="E15" s="110"/>
      <c r="G15" s="1"/>
      <c r="H15" s="1" t="s">
        <v>1039</v>
      </c>
      <c r="I15">
        <f>SUM(I3:I11)</f>
        <v>1800</v>
      </c>
      <c r="N15" s="1"/>
      <c r="O15" s="1"/>
      <c r="P15" s="1"/>
      <c r="R15" s="1"/>
      <c r="S15" s="1"/>
    </row>
    <row r="16" spans="1:22" ht="12.75">
      <c r="A16" s="125" t="s">
        <v>1040</v>
      </c>
      <c r="B16" s="1" t="s">
        <v>1041</v>
      </c>
      <c r="I16" s="125" t="s">
        <v>968</v>
      </c>
      <c r="J16" s="114"/>
      <c r="K16" s="114"/>
      <c r="O16" s="1"/>
      <c r="P16" s="1"/>
      <c r="S16" s="1"/>
    </row>
    <row r="17" spans="1:22" ht="12.75">
      <c r="A17" s="1" t="s">
        <v>1191</v>
      </c>
      <c r="I17" s="114" t="s">
        <v>970</v>
      </c>
      <c r="J17" s="114" t="s">
        <v>47</v>
      </c>
      <c r="K17" s="114" t="s">
        <v>300</v>
      </c>
      <c r="O17" s="1"/>
      <c r="P17" s="1"/>
      <c r="S17" s="1"/>
    </row>
    <row r="18" spans="1:22" ht="12.75">
      <c r="A18" s="1" t="s">
        <v>1192</v>
      </c>
      <c r="H18" s="1"/>
      <c r="I18" s="128" t="s">
        <v>1193</v>
      </c>
      <c r="J18" s="126">
        <v>0.3</v>
      </c>
      <c r="O18" s="1"/>
      <c r="P18" s="1"/>
      <c r="S18" s="1"/>
    </row>
    <row r="19" spans="1:22" ht="12.75">
      <c r="A19" s="1" t="s">
        <v>1194</v>
      </c>
      <c r="I19" s="112">
        <v>800</v>
      </c>
      <c r="J19" s="127">
        <f>I19/J18-I19</f>
        <v>1866.666666666667</v>
      </c>
      <c r="K19" s="127">
        <f>SUM(I19:J19)</f>
        <v>2666.666666666667</v>
      </c>
      <c r="O19" s="1"/>
      <c r="P19" s="1"/>
      <c r="R19" s="1"/>
      <c r="S19" s="1"/>
    </row>
    <row r="20" spans="1:22" ht="12.75">
      <c r="A20" s="1" t="s">
        <v>1195</v>
      </c>
      <c r="H20" s="1"/>
      <c r="I20" s="168"/>
      <c r="J20" s="112"/>
      <c r="K20" s="127"/>
      <c r="O20" s="1"/>
      <c r="P20" s="1" t="s">
        <v>1196</v>
      </c>
      <c r="R20" s="1"/>
      <c r="S20" s="1"/>
    </row>
    <row r="21" spans="1:22" ht="12.75">
      <c r="A21" s="1"/>
      <c r="I21" s="112"/>
      <c r="J21" s="127"/>
      <c r="K21" s="127"/>
      <c r="L21" s="1"/>
      <c r="M21" s="1" t="s">
        <v>816</v>
      </c>
      <c r="N21" s="1" t="s">
        <v>817</v>
      </c>
      <c r="P21" s="1" t="s">
        <v>1197</v>
      </c>
      <c r="Q21" s="1" t="s">
        <v>819</v>
      </c>
      <c r="R21" s="1"/>
      <c r="S21" s="1"/>
    </row>
    <row r="22" spans="1:22" ht="12.75">
      <c r="A22" s="1"/>
      <c r="H22" s="1"/>
      <c r="I22" s="5"/>
      <c r="J22" s="1"/>
      <c r="L22" s="1"/>
      <c r="M22" s="1">
        <v>1</v>
      </c>
      <c r="N22" s="1">
        <v>1</v>
      </c>
      <c r="O22" s="1"/>
      <c r="P22" s="1">
        <v>86</v>
      </c>
      <c r="R22" s="1"/>
      <c r="S22" s="1"/>
    </row>
    <row r="23" spans="1:22" ht="12.75">
      <c r="A23" s="1"/>
      <c r="I23" s="112"/>
      <c r="J23" s="127"/>
      <c r="K23" s="127"/>
      <c r="M23">
        <f t="shared" ref="M23:M97" si="1">M22+1</f>
        <v>2</v>
      </c>
      <c r="N23" s="1">
        <v>2</v>
      </c>
      <c r="O23" s="1"/>
      <c r="P23" s="1">
        <v>406</v>
      </c>
      <c r="Q23" s="1">
        <v>14.2</v>
      </c>
      <c r="R23" s="1"/>
      <c r="S23" s="1"/>
    </row>
    <row r="24" spans="1:22" ht="12.75">
      <c r="A24" s="1"/>
      <c r="H24" s="1"/>
      <c r="I24" s="5"/>
      <c r="J24" s="1"/>
      <c r="M24">
        <f t="shared" si="1"/>
        <v>3</v>
      </c>
      <c r="N24" s="1">
        <v>3</v>
      </c>
      <c r="O24" s="1"/>
      <c r="P24" s="1">
        <v>121</v>
      </c>
      <c r="Q24" s="1">
        <v>114</v>
      </c>
      <c r="R24" s="1"/>
      <c r="S24" s="1"/>
    </row>
    <row r="25" spans="1:22" ht="12.75">
      <c r="I25" s="112"/>
      <c r="J25" s="127"/>
      <c r="K25" s="127"/>
      <c r="M25">
        <f t="shared" si="1"/>
        <v>4</v>
      </c>
      <c r="N25" s="1">
        <v>4</v>
      </c>
      <c r="O25" s="1"/>
      <c r="P25" s="1">
        <v>37.299999999999997</v>
      </c>
      <c r="Q25" s="1">
        <v>222.1</v>
      </c>
      <c r="R25" s="1"/>
      <c r="S25" s="1"/>
    </row>
    <row r="26" spans="1:22" ht="12.75">
      <c r="M26">
        <f t="shared" si="1"/>
        <v>5</v>
      </c>
      <c r="N26" s="1">
        <v>5</v>
      </c>
      <c r="O26" s="1"/>
      <c r="P26" s="1">
        <v>18</v>
      </c>
      <c r="R26" s="1"/>
      <c r="S26" s="1"/>
    </row>
    <row r="27" spans="1:22" ht="12.75">
      <c r="M27">
        <f t="shared" si="1"/>
        <v>6</v>
      </c>
      <c r="N27" s="1">
        <v>1</v>
      </c>
      <c r="O27" s="1"/>
      <c r="P27" s="1">
        <v>19.100000000000001</v>
      </c>
      <c r="R27" s="1"/>
      <c r="S27" s="1"/>
    </row>
    <row r="28" spans="1:22" ht="12.75">
      <c r="M28">
        <f t="shared" si="1"/>
        <v>7</v>
      </c>
      <c r="N28" s="1">
        <v>6</v>
      </c>
      <c r="O28" s="114"/>
      <c r="P28" s="1">
        <v>33.4</v>
      </c>
      <c r="Q28" s="1">
        <v>107</v>
      </c>
      <c r="R28" s="1"/>
      <c r="S28" s="1"/>
    </row>
    <row r="29" spans="1:22" ht="12.75">
      <c r="M29">
        <f t="shared" si="1"/>
        <v>8</v>
      </c>
      <c r="N29">
        <f t="shared" ref="N29:N56" si="2">N28+1</f>
        <v>7</v>
      </c>
      <c r="O29" s="114"/>
      <c r="P29" s="1">
        <v>37</v>
      </c>
      <c r="Q29" s="1">
        <v>112.5</v>
      </c>
      <c r="R29" s="1"/>
      <c r="S29" s="1"/>
    </row>
    <row r="30" spans="1:22" ht="12.75">
      <c r="M30">
        <f t="shared" si="1"/>
        <v>9</v>
      </c>
      <c r="N30">
        <f t="shared" si="2"/>
        <v>8</v>
      </c>
      <c r="O30" s="114"/>
      <c r="P30" s="1">
        <v>38.799999999999997</v>
      </c>
      <c r="Q30" s="1">
        <v>112</v>
      </c>
      <c r="S30" s="1"/>
      <c r="V30" s="1"/>
    </row>
    <row r="31" spans="1:22" ht="12.75">
      <c r="M31">
        <f t="shared" si="1"/>
        <v>10</v>
      </c>
      <c r="N31">
        <f t="shared" si="2"/>
        <v>9</v>
      </c>
      <c r="O31" s="114"/>
      <c r="P31" s="1">
        <v>28.3</v>
      </c>
      <c r="Q31" s="1">
        <v>93</v>
      </c>
      <c r="R31" s="1"/>
      <c r="S31" s="1"/>
    </row>
    <row r="32" spans="1:22" ht="12.75">
      <c r="M32">
        <f t="shared" si="1"/>
        <v>11</v>
      </c>
      <c r="N32">
        <f t="shared" si="2"/>
        <v>10</v>
      </c>
      <c r="O32" s="114"/>
      <c r="P32" s="1">
        <v>28.2</v>
      </c>
      <c r="Q32" s="1">
        <v>95.7</v>
      </c>
      <c r="S32" s="1"/>
    </row>
    <row r="33" spans="13:19" ht="12.75">
      <c r="M33">
        <f t="shared" si="1"/>
        <v>12</v>
      </c>
      <c r="N33">
        <f t="shared" si="2"/>
        <v>11</v>
      </c>
      <c r="O33" s="114"/>
      <c r="P33" s="1">
        <v>31.5</v>
      </c>
      <c r="Q33" s="1">
        <v>114.2</v>
      </c>
      <c r="R33" s="1"/>
      <c r="S33" s="1"/>
    </row>
    <row r="34" spans="13:19" ht="12.75">
      <c r="M34">
        <f t="shared" si="1"/>
        <v>13</v>
      </c>
      <c r="N34">
        <f t="shared" si="2"/>
        <v>12</v>
      </c>
      <c r="O34" s="110"/>
      <c r="P34" s="1">
        <v>29.6</v>
      </c>
      <c r="Q34" s="1">
        <v>118</v>
      </c>
      <c r="S34" s="1"/>
    </row>
    <row r="35" spans="13:19" ht="12.75">
      <c r="M35">
        <f t="shared" si="1"/>
        <v>14</v>
      </c>
      <c r="N35">
        <f t="shared" si="2"/>
        <v>13</v>
      </c>
      <c r="O35" s="110"/>
      <c r="P35" s="1">
        <v>34</v>
      </c>
      <c r="Q35" s="1">
        <v>154.4</v>
      </c>
      <c r="S35" s="1"/>
    </row>
    <row r="36" spans="13:19" ht="12.75">
      <c r="M36">
        <f t="shared" si="1"/>
        <v>15</v>
      </c>
      <c r="N36">
        <f t="shared" si="2"/>
        <v>14</v>
      </c>
      <c r="O36" s="110"/>
      <c r="P36" s="1">
        <v>32.9</v>
      </c>
      <c r="Q36" s="1">
        <v>138.19999999999999</v>
      </c>
      <c r="S36" s="1"/>
    </row>
    <row r="37" spans="13:19" ht="12.75">
      <c r="M37">
        <f t="shared" si="1"/>
        <v>16</v>
      </c>
      <c r="N37">
        <f t="shared" si="2"/>
        <v>15</v>
      </c>
      <c r="O37" s="110"/>
      <c r="P37" s="1">
        <v>34.700000000000003</v>
      </c>
      <c r="Q37" s="1">
        <v>135.4</v>
      </c>
    </row>
    <row r="38" spans="13:19" ht="12.75">
      <c r="M38">
        <f t="shared" si="1"/>
        <v>17</v>
      </c>
      <c r="N38">
        <f t="shared" si="2"/>
        <v>16</v>
      </c>
      <c r="O38" s="110"/>
      <c r="P38" s="1">
        <v>34.5</v>
      </c>
      <c r="Q38" s="1">
        <v>82.7</v>
      </c>
    </row>
    <row r="39" spans="13:19" ht="12.75">
      <c r="M39">
        <f t="shared" si="1"/>
        <v>18</v>
      </c>
      <c r="N39">
        <f t="shared" si="2"/>
        <v>17</v>
      </c>
      <c r="O39" s="110"/>
      <c r="P39" s="1">
        <v>35.5</v>
      </c>
      <c r="Q39" s="1">
        <v>118.6</v>
      </c>
      <c r="S39" s="1"/>
    </row>
    <row r="40" spans="13:19" ht="12.75">
      <c r="M40">
        <f t="shared" si="1"/>
        <v>19</v>
      </c>
      <c r="N40">
        <f t="shared" si="2"/>
        <v>18</v>
      </c>
      <c r="O40" s="110"/>
      <c r="P40" s="1">
        <v>33.6</v>
      </c>
      <c r="Q40" s="1">
        <v>16.899999999999999</v>
      </c>
      <c r="S40" s="1"/>
    </row>
    <row r="41" spans="13:19" ht="12.75">
      <c r="M41">
        <f t="shared" si="1"/>
        <v>20</v>
      </c>
      <c r="N41">
        <f t="shared" si="2"/>
        <v>19</v>
      </c>
      <c r="O41" s="110"/>
      <c r="P41" s="1">
        <v>37.1</v>
      </c>
      <c r="R41" s="1"/>
    </row>
    <row r="42" spans="13:19" ht="12.75">
      <c r="M42">
        <f t="shared" si="1"/>
        <v>21</v>
      </c>
      <c r="N42">
        <f t="shared" si="2"/>
        <v>20</v>
      </c>
      <c r="O42" s="110"/>
      <c r="P42" s="1">
        <v>429.3</v>
      </c>
      <c r="Q42" s="1">
        <v>14.9</v>
      </c>
      <c r="S42" s="1"/>
    </row>
    <row r="43" spans="13:19" ht="12.75">
      <c r="M43">
        <f t="shared" si="1"/>
        <v>22</v>
      </c>
      <c r="N43">
        <f t="shared" si="2"/>
        <v>21</v>
      </c>
      <c r="O43" s="110"/>
      <c r="P43" s="1">
        <v>132.4</v>
      </c>
      <c r="Q43" s="1">
        <v>120.4</v>
      </c>
    </row>
    <row r="44" spans="13:19" ht="12.75">
      <c r="M44">
        <f t="shared" si="1"/>
        <v>23</v>
      </c>
      <c r="N44">
        <f t="shared" si="2"/>
        <v>22</v>
      </c>
      <c r="O44" s="110"/>
      <c r="P44" s="1">
        <v>48.3</v>
      </c>
      <c r="Q44" s="1">
        <v>234.7</v>
      </c>
      <c r="S44" s="1"/>
    </row>
    <row r="45" spans="13:19" ht="12.75">
      <c r="M45">
        <f t="shared" si="1"/>
        <v>24</v>
      </c>
      <c r="N45">
        <f t="shared" si="2"/>
        <v>23</v>
      </c>
      <c r="O45" s="110"/>
      <c r="P45" s="1">
        <v>29.2</v>
      </c>
      <c r="Q45" s="1"/>
      <c r="S45" s="1"/>
    </row>
    <row r="46" spans="13:19" ht="12.75">
      <c r="M46">
        <f t="shared" si="1"/>
        <v>25</v>
      </c>
      <c r="N46">
        <f t="shared" si="2"/>
        <v>24</v>
      </c>
      <c r="O46" s="110"/>
      <c r="P46" s="1">
        <v>28.3</v>
      </c>
      <c r="Q46" s="1"/>
      <c r="S46" s="1"/>
    </row>
    <row r="47" spans="13:19" ht="12.75">
      <c r="M47">
        <f t="shared" si="1"/>
        <v>26</v>
      </c>
      <c r="N47">
        <f t="shared" si="2"/>
        <v>25</v>
      </c>
      <c r="O47" s="110"/>
      <c r="P47" s="1"/>
      <c r="Q47" s="1"/>
    </row>
    <row r="48" spans="13:19" ht="12.75">
      <c r="M48">
        <f t="shared" si="1"/>
        <v>27</v>
      </c>
      <c r="N48">
        <f t="shared" si="2"/>
        <v>26</v>
      </c>
      <c r="O48" s="110"/>
      <c r="P48" s="1"/>
      <c r="Q48" s="1"/>
      <c r="R48" s="1"/>
    </row>
    <row r="49" spans="13:22" ht="12.75">
      <c r="M49">
        <f t="shared" si="1"/>
        <v>28</v>
      </c>
      <c r="N49">
        <f t="shared" si="2"/>
        <v>27</v>
      </c>
      <c r="O49" s="110"/>
      <c r="P49" s="1"/>
      <c r="Q49" s="1"/>
      <c r="R49" s="1"/>
      <c r="S49" s="1"/>
    </row>
    <row r="50" spans="13:22" ht="12.75">
      <c r="M50">
        <f t="shared" si="1"/>
        <v>29</v>
      </c>
      <c r="N50">
        <f t="shared" si="2"/>
        <v>28</v>
      </c>
      <c r="O50" s="110"/>
      <c r="P50" s="1"/>
      <c r="Q50" s="1"/>
      <c r="S50" s="1"/>
    </row>
    <row r="51" spans="13:22" ht="12.75">
      <c r="M51">
        <f t="shared" si="1"/>
        <v>30</v>
      </c>
      <c r="N51">
        <f t="shared" si="2"/>
        <v>29</v>
      </c>
      <c r="O51" s="1"/>
      <c r="P51" s="1"/>
      <c r="Q51" s="1"/>
      <c r="R51" s="1"/>
      <c r="S51" s="1"/>
    </row>
    <row r="52" spans="13:22" ht="12.75">
      <c r="M52">
        <f t="shared" si="1"/>
        <v>31</v>
      </c>
      <c r="N52">
        <f t="shared" si="2"/>
        <v>30</v>
      </c>
      <c r="O52" s="1"/>
      <c r="P52" s="1"/>
      <c r="Q52" s="1"/>
      <c r="S52" s="1"/>
    </row>
    <row r="53" spans="13:22" ht="12.75">
      <c r="M53">
        <f t="shared" si="1"/>
        <v>32</v>
      </c>
      <c r="N53">
        <f t="shared" si="2"/>
        <v>31</v>
      </c>
      <c r="O53" s="1"/>
      <c r="P53" s="1"/>
      <c r="Q53" s="1"/>
      <c r="R53" s="1"/>
      <c r="S53" s="1"/>
    </row>
    <row r="54" spans="13:22" ht="12.75">
      <c r="M54">
        <f t="shared" si="1"/>
        <v>33</v>
      </c>
      <c r="N54">
        <f t="shared" si="2"/>
        <v>32</v>
      </c>
      <c r="O54" s="1"/>
      <c r="P54" s="1"/>
      <c r="Q54" s="1"/>
    </row>
    <row r="55" spans="13:22" ht="12.75">
      <c r="M55">
        <f t="shared" si="1"/>
        <v>34</v>
      </c>
      <c r="N55">
        <f t="shared" si="2"/>
        <v>33</v>
      </c>
      <c r="O55" s="1"/>
      <c r="P55" s="1"/>
      <c r="Q55" s="1"/>
      <c r="S55" s="1"/>
    </row>
    <row r="56" spans="13:22" ht="12.75">
      <c r="M56">
        <f t="shared" si="1"/>
        <v>35</v>
      </c>
      <c r="N56">
        <f t="shared" si="2"/>
        <v>34</v>
      </c>
      <c r="O56" s="1"/>
      <c r="P56" s="1"/>
      <c r="Q56" s="1"/>
      <c r="R56" s="1"/>
      <c r="S56" s="1"/>
    </row>
    <row r="57" spans="13:22" ht="12.75">
      <c r="M57">
        <f t="shared" si="1"/>
        <v>36</v>
      </c>
      <c r="N57" s="1">
        <v>1</v>
      </c>
      <c r="O57" s="1"/>
      <c r="P57" s="1"/>
      <c r="Q57" s="1"/>
      <c r="S57" s="1"/>
    </row>
    <row r="58" spans="13:22" ht="12.75">
      <c r="M58">
        <f t="shared" si="1"/>
        <v>37</v>
      </c>
      <c r="N58" s="1">
        <v>2</v>
      </c>
      <c r="O58" s="1"/>
      <c r="P58" s="1"/>
      <c r="Q58" s="1"/>
    </row>
    <row r="59" spans="13:22" ht="21" customHeight="1">
      <c r="M59">
        <f t="shared" si="1"/>
        <v>38</v>
      </c>
      <c r="N59" s="1">
        <v>3</v>
      </c>
      <c r="O59" s="1"/>
      <c r="P59" s="1"/>
      <c r="Q59" s="1"/>
      <c r="T59" s="1"/>
      <c r="V59" s="1"/>
    </row>
    <row r="60" spans="13:22" ht="12.75">
      <c r="M60">
        <f t="shared" si="1"/>
        <v>39</v>
      </c>
      <c r="N60" s="1">
        <v>4</v>
      </c>
      <c r="O60" s="1"/>
      <c r="P60" s="1"/>
      <c r="Q60" s="1"/>
    </row>
    <row r="61" spans="13:22" ht="12.75">
      <c r="M61">
        <f t="shared" si="1"/>
        <v>40</v>
      </c>
      <c r="N61" s="1">
        <v>5</v>
      </c>
      <c r="O61" s="1"/>
      <c r="P61" s="1"/>
      <c r="Q61" s="1"/>
      <c r="S61" s="1"/>
    </row>
    <row r="62" spans="13:22" ht="12.75">
      <c r="M62">
        <f t="shared" si="1"/>
        <v>41</v>
      </c>
      <c r="N62" s="1">
        <v>1</v>
      </c>
      <c r="O62" s="1"/>
      <c r="P62" s="1"/>
      <c r="Q62" s="1"/>
    </row>
    <row r="63" spans="13:22" ht="12.75">
      <c r="M63">
        <f t="shared" si="1"/>
        <v>42</v>
      </c>
      <c r="N63" s="1">
        <v>6</v>
      </c>
      <c r="O63" s="114"/>
      <c r="P63" s="1"/>
      <c r="Q63" s="1"/>
      <c r="S63" s="1"/>
    </row>
    <row r="64" spans="13:22" ht="12.75">
      <c r="M64">
        <f t="shared" si="1"/>
        <v>43</v>
      </c>
      <c r="N64">
        <f t="shared" ref="N64:N91" si="3">N63+1</f>
        <v>7</v>
      </c>
      <c r="O64" s="114"/>
      <c r="P64" s="1"/>
      <c r="Q64" s="1"/>
      <c r="S64" s="1"/>
    </row>
    <row r="65" spans="13:19" ht="12.75">
      <c r="M65">
        <f t="shared" si="1"/>
        <v>44</v>
      </c>
      <c r="N65">
        <f t="shared" si="3"/>
        <v>8</v>
      </c>
      <c r="O65" s="114"/>
      <c r="P65" s="1"/>
      <c r="Q65" s="1"/>
    </row>
    <row r="66" spans="13:19" ht="12.75">
      <c r="M66">
        <f t="shared" si="1"/>
        <v>45</v>
      </c>
      <c r="N66">
        <f t="shared" si="3"/>
        <v>9</v>
      </c>
      <c r="O66" s="114"/>
      <c r="P66" s="1"/>
      <c r="Q66" s="1"/>
    </row>
    <row r="67" spans="13:19" ht="12.75">
      <c r="M67">
        <f t="shared" si="1"/>
        <v>46</v>
      </c>
      <c r="N67">
        <f t="shared" si="3"/>
        <v>10</v>
      </c>
      <c r="O67" s="114"/>
      <c r="P67" s="1"/>
      <c r="Q67" s="1"/>
      <c r="S67" s="1"/>
    </row>
    <row r="68" spans="13:19" ht="12.75">
      <c r="M68">
        <f t="shared" si="1"/>
        <v>47</v>
      </c>
      <c r="N68">
        <f t="shared" si="3"/>
        <v>11</v>
      </c>
      <c r="O68" s="114"/>
      <c r="P68" s="1"/>
      <c r="Q68" s="1"/>
      <c r="S68" s="1"/>
    </row>
    <row r="69" spans="13:19" ht="12.75">
      <c r="M69">
        <f t="shared" si="1"/>
        <v>48</v>
      </c>
      <c r="N69">
        <f t="shared" si="3"/>
        <v>12</v>
      </c>
      <c r="O69" s="110"/>
      <c r="P69" s="1"/>
      <c r="Q69" s="1"/>
      <c r="S69" s="1"/>
    </row>
    <row r="70" spans="13:19" ht="12.75">
      <c r="M70">
        <f t="shared" si="1"/>
        <v>49</v>
      </c>
      <c r="N70">
        <f t="shared" si="3"/>
        <v>13</v>
      </c>
      <c r="O70" s="110"/>
      <c r="P70" s="1"/>
      <c r="Q70" s="1"/>
      <c r="S70" s="1"/>
    </row>
    <row r="71" spans="13:19" ht="12.75">
      <c r="M71">
        <f t="shared" si="1"/>
        <v>50</v>
      </c>
      <c r="N71">
        <f t="shared" si="3"/>
        <v>14</v>
      </c>
      <c r="O71" s="110"/>
      <c r="P71" s="1"/>
      <c r="Q71" s="1"/>
      <c r="R71" s="1"/>
      <c r="S71" s="1"/>
    </row>
    <row r="72" spans="13:19" ht="12.75">
      <c r="M72">
        <f t="shared" si="1"/>
        <v>51</v>
      </c>
      <c r="N72">
        <f t="shared" si="3"/>
        <v>15</v>
      </c>
      <c r="O72" s="110"/>
      <c r="P72" s="1"/>
      <c r="Q72" s="1"/>
      <c r="S72" s="1"/>
    </row>
    <row r="73" spans="13:19" ht="12.75">
      <c r="M73">
        <f t="shared" si="1"/>
        <v>52</v>
      </c>
      <c r="N73">
        <f t="shared" si="3"/>
        <v>16</v>
      </c>
      <c r="O73" s="110"/>
      <c r="P73" s="1"/>
      <c r="Q73" s="1"/>
    </row>
    <row r="74" spans="13:19" ht="12.75">
      <c r="M74">
        <f t="shared" si="1"/>
        <v>53</v>
      </c>
      <c r="N74">
        <f t="shared" si="3"/>
        <v>17</v>
      </c>
      <c r="O74" s="110"/>
      <c r="P74" s="1"/>
      <c r="Q74" s="1"/>
    </row>
    <row r="75" spans="13:19" ht="12.75">
      <c r="M75">
        <f t="shared" si="1"/>
        <v>54</v>
      </c>
      <c r="N75">
        <f t="shared" si="3"/>
        <v>18</v>
      </c>
      <c r="O75" s="110"/>
      <c r="P75" s="1"/>
      <c r="Q75" s="1"/>
    </row>
    <row r="76" spans="13:19" ht="12.75">
      <c r="M76">
        <f t="shared" si="1"/>
        <v>55</v>
      </c>
      <c r="N76">
        <f t="shared" si="3"/>
        <v>19</v>
      </c>
      <c r="O76" s="110"/>
      <c r="P76" s="1"/>
      <c r="Q76" s="1"/>
    </row>
    <row r="77" spans="13:19" ht="12.75">
      <c r="M77">
        <f t="shared" si="1"/>
        <v>56</v>
      </c>
      <c r="N77">
        <f t="shared" si="3"/>
        <v>20</v>
      </c>
      <c r="O77" s="110"/>
      <c r="P77" s="1"/>
      <c r="Q77" s="1"/>
    </row>
    <row r="78" spans="13:19" ht="12.75">
      <c r="M78">
        <f t="shared" si="1"/>
        <v>57</v>
      </c>
      <c r="N78">
        <f t="shared" si="3"/>
        <v>21</v>
      </c>
      <c r="O78" s="110"/>
      <c r="P78" s="1"/>
      <c r="Q78" s="1"/>
    </row>
    <row r="79" spans="13:19" ht="12.75">
      <c r="M79">
        <f t="shared" si="1"/>
        <v>58</v>
      </c>
      <c r="N79">
        <f t="shared" si="3"/>
        <v>22</v>
      </c>
      <c r="O79" s="110"/>
      <c r="P79" s="1"/>
      <c r="Q79" s="1"/>
    </row>
    <row r="80" spans="13:19" ht="12.75">
      <c r="M80">
        <f t="shared" si="1"/>
        <v>59</v>
      </c>
      <c r="N80">
        <f t="shared" si="3"/>
        <v>23</v>
      </c>
      <c r="O80" s="110"/>
      <c r="P80" s="1"/>
      <c r="Q80" s="1"/>
    </row>
    <row r="81" spans="13:18" ht="12.75">
      <c r="M81">
        <f t="shared" si="1"/>
        <v>60</v>
      </c>
      <c r="N81">
        <f t="shared" si="3"/>
        <v>24</v>
      </c>
      <c r="O81" s="110"/>
      <c r="P81" s="1"/>
      <c r="Q81" s="1"/>
    </row>
    <row r="82" spans="13:18" ht="12.75">
      <c r="M82">
        <f t="shared" si="1"/>
        <v>61</v>
      </c>
      <c r="N82">
        <f t="shared" si="3"/>
        <v>25</v>
      </c>
      <c r="O82" s="110"/>
      <c r="P82" s="1"/>
      <c r="Q82" s="1"/>
    </row>
    <row r="83" spans="13:18" ht="12.75">
      <c r="M83">
        <f t="shared" si="1"/>
        <v>62</v>
      </c>
      <c r="N83">
        <f t="shared" si="3"/>
        <v>26</v>
      </c>
      <c r="O83" s="110"/>
      <c r="P83" s="1"/>
      <c r="Q83" s="1"/>
    </row>
    <row r="84" spans="13:18" ht="12.75">
      <c r="M84">
        <f t="shared" si="1"/>
        <v>63</v>
      </c>
      <c r="N84">
        <f t="shared" si="3"/>
        <v>27</v>
      </c>
      <c r="O84" s="110"/>
      <c r="P84" s="1"/>
      <c r="Q84" s="1"/>
    </row>
    <row r="85" spans="13:18" ht="12.75">
      <c r="M85">
        <f t="shared" si="1"/>
        <v>64</v>
      </c>
      <c r="N85">
        <f t="shared" si="3"/>
        <v>28</v>
      </c>
      <c r="O85" s="110"/>
      <c r="P85" s="1"/>
      <c r="Q85" s="1"/>
    </row>
    <row r="86" spans="13:18" ht="12.75">
      <c r="M86">
        <f t="shared" si="1"/>
        <v>65</v>
      </c>
      <c r="N86">
        <f t="shared" si="3"/>
        <v>29</v>
      </c>
      <c r="O86" s="1"/>
      <c r="P86" s="1"/>
      <c r="Q86" s="1"/>
    </row>
    <row r="87" spans="13:18" ht="12.75">
      <c r="M87">
        <f t="shared" si="1"/>
        <v>66</v>
      </c>
      <c r="N87">
        <f t="shared" si="3"/>
        <v>30</v>
      </c>
      <c r="O87" s="1"/>
      <c r="R87" s="1" t="s">
        <v>1198</v>
      </c>
    </row>
    <row r="88" spans="13:18" ht="12.75">
      <c r="M88">
        <f t="shared" si="1"/>
        <v>67</v>
      </c>
      <c r="N88">
        <f t="shared" si="3"/>
        <v>31</v>
      </c>
      <c r="O88" s="1"/>
      <c r="P88" s="1"/>
      <c r="Q88" s="1"/>
    </row>
    <row r="89" spans="13:18" ht="12.75">
      <c r="M89">
        <f t="shared" si="1"/>
        <v>68</v>
      </c>
      <c r="N89">
        <f t="shared" si="3"/>
        <v>32</v>
      </c>
      <c r="O89" s="1"/>
      <c r="P89" s="1"/>
      <c r="Q89" s="1"/>
    </row>
    <row r="90" spans="13:18" ht="12.75">
      <c r="M90">
        <f t="shared" si="1"/>
        <v>69</v>
      </c>
      <c r="N90">
        <f t="shared" si="3"/>
        <v>33</v>
      </c>
      <c r="O90" s="1"/>
      <c r="P90" s="1"/>
      <c r="Q90" s="1"/>
    </row>
    <row r="91" spans="13:18" ht="12.75">
      <c r="M91">
        <f t="shared" si="1"/>
        <v>70</v>
      </c>
      <c r="N91">
        <f t="shared" si="3"/>
        <v>34</v>
      </c>
      <c r="O91" s="1"/>
      <c r="R91" s="1" t="s">
        <v>1198</v>
      </c>
    </row>
    <row r="92" spans="13:18" ht="12.75">
      <c r="M92">
        <f t="shared" si="1"/>
        <v>71</v>
      </c>
      <c r="N92" s="1">
        <v>1</v>
      </c>
      <c r="O92" s="1"/>
      <c r="P92" s="1"/>
      <c r="Q92" s="1"/>
    </row>
    <row r="93" spans="13:18" ht="12.75">
      <c r="M93">
        <f t="shared" si="1"/>
        <v>72</v>
      </c>
      <c r="N93" s="1">
        <v>2</v>
      </c>
      <c r="O93" s="1"/>
      <c r="P93" s="1"/>
      <c r="Q93" s="1"/>
    </row>
    <row r="94" spans="13:18" ht="12.75">
      <c r="M94">
        <f t="shared" si="1"/>
        <v>73</v>
      </c>
      <c r="N94" s="1">
        <v>3</v>
      </c>
      <c r="O94" s="1"/>
      <c r="P94" s="1"/>
      <c r="Q94" s="1"/>
    </row>
    <row r="95" spans="13:18" ht="12.75">
      <c r="M95">
        <f t="shared" si="1"/>
        <v>74</v>
      </c>
      <c r="N95" s="1">
        <v>4</v>
      </c>
      <c r="O95" s="1"/>
      <c r="P95" s="1"/>
      <c r="Q95" s="1"/>
    </row>
    <row r="96" spans="13:18" ht="12.75">
      <c r="M96">
        <f t="shared" si="1"/>
        <v>75</v>
      </c>
      <c r="N96" s="1">
        <v>5</v>
      </c>
      <c r="O96" s="1"/>
      <c r="P96" s="1"/>
    </row>
    <row r="97" spans="13:16" ht="12.75">
      <c r="M97">
        <f t="shared" si="1"/>
        <v>76</v>
      </c>
      <c r="N97" s="1">
        <v>1</v>
      </c>
      <c r="O97" s="1"/>
      <c r="P97" s="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1"/>
  <sheetViews>
    <sheetView workbookViewId="0"/>
  </sheetViews>
  <sheetFormatPr defaultColWidth="14.42578125" defaultRowHeight="15.75" customHeight="1"/>
  <cols>
    <col min="7" max="7" width="16.7109375" customWidth="1"/>
    <col min="8" max="8" width="17" customWidth="1"/>
    <col min="11" max="11" width="18.7109375" customWidth="1"/>
  </cols>
  <sheetData>
    <row r="1" spans="1:28" ht="15.75" customHeight="1">
      <c r="A1" s="1" t="s">
        <v>1199</v>
      </c>
    </row>
    <row r="3" spans="1:28" ht="15.75" customHeight="1">
      <c r="A3" s="114" t="s">
        <v>1</v>
      </c>
      <c r="B3" s="110" t="s">
        <v>658</v>
      </c>
      <c r="C3" s="114" t="s">
        <v>659</v>
      </c>
      <c r="D3" s="114" t="s">
        <v>660</v>
      </c>
      <c r="E3" s="114" t="s">
        <v>661</v>
      </c>
      <c r="F3" s="114" t="s">
        <v>1032</v>
      </c>
      <c r="G3" s="110" t="s">
        <v>1066</v>
      </c>
      <c r="H3" s="110" t="s">
        <v>585</v>
      </c>
      <c r="I3" s="110" t="s">
        <v>1200</v>
      </c>
      <c r="J3" s="114" t="s">
        <v>97</v>
      </c>
      <c r="K3" s="114" t="s">
        <v>664</v>
      </c>
      <c r="L3" s="114" t="s">
        <v>665</v>
      </c>
      <c r="M3" s="114" t="s">
        <v>666</v>
      </c>
      <c r="N3" s="114" t="s">
        <v>667</v>
      </c>
      <c r="P3" s="1"/>
      <c r="Q3" s="1"/>
      <c r="R3" s="1"/>
      <c r="S3" s="1"/>
      <c r="T3" s="1"/>
      <c r="V3" s="103"/>
      <c r="W3" s="103"/>
      <c r="X3" s="103"/>
      <c r="Y3" s="1"/>
      <c r="AA3" s="1"/>
      <c r="AB3" s="1"/>
    </row>
    <row r="4" spans="1:28" ht="15.75" customHeight="1">
      <c r="A4" s="114" t="s">
        <v>962</v>
      </c>
      <c r="B4" s="114"/>
      <c r="C4" s="114"/>
      <c r="D4" s="114"/>
      <c r="E4" s="114"/>
      <c r="F4" s="114"/>
      <c r="G4" s="114"/>
      <c r="H4" s="110"/>
      <c r="I4" s="114"/>
      <c r="J4" s="114"/>
      <c r="K4" s="114"/>
      <c r="L4" s="114"/>
      <c r="N4" s="114"/>
      <c r="W4" s="1"/>
      <c r="AB4" s="1"/>
    </row>
    <row r="5" spans="1:28" ht="15.75" customHeight="1">
      <c r="A5" s="110" t="s">
        <v>17</v>
      </c>
      <c r="B5" s="110"/>
      <c r="C5" s="110" t="s">
        <v>591</v>
      </c>
      <c r="D5" s="111">
        <v>4</v>
      </c>
      <c r="E5" s="127">
        <f t="shared" ref="E5:E22" si="0">D5+L5/1000</f>
        <v>4.2</v>
      </c>
      <c r="F5" s="114" t="s">
        <v>692</v>
      </c>
      <c r="G5" s="112" t="s">
        <v>1121</v>
      </c>
      <c r="H5" s="110" t="s">
        <v>1035</v>
      </c>
      <c r="I5" s="112" t="s">
        <v>1201</v>
      </c>
      <c r="J5" s="111">
        <v>1</v>
      </c>
      <c r="K5" s="111">
        <v>10</v>
      </c>
      <c r="L5" s="112">
        <v>200</v>
      </c>
      <c r="M5" s="112">
        <v>10</v>
      </c>
      <c r="N5" s="112">
        <v>50</v>
      </c>
      <c r="P5" s="1"/>
      <c r="Q5" s="1"/>
      <c r="R5" s="1"/>
      <c r="S5" s="1"/>
      <c r="T5" s="1"/>
      <c r="U5" s="1"/>
      <c r="Y5" s="1"/>
      <c r="AB5" s="1"/>
    </row>
    <row r="6" spans="1:28" ht="15.75" customHeight="1">
      <c r="A6" s="110" t="s">
        <v>18</v>
      </c>
      <c r="B6" s="110"/>
      <c r="C6" s="110" t="s">
        <v>591</v>
      </c>
      <c r="D6" s="111">
        <v>4</v>
      </c>
      <c r="E6" s="127">
        <f t="shared" si="0"/>
        <v>4.2</v>
      </c>
      <c r="F6" s="114" t="s">
        <v>692</v>
      </c>
      <c r="G6" s="112" t="s">
        <v>1121</v>
      </c>
      <c r="H6" s="110" t="s">
        <v>1035</v>
      </c>
      <c r="I6" s="112" t="s">
        <v>1201</v>
      </c>
      <c r="J6" s="111">
        <v>1</v>
      </c>
      <c r="K6" s="111">
        <v>10</v>
      </c>
      <c r="L6" s="112">
        <v>200</v>
      </c>
      <c r="M6" s="112">
        <v>10</v>
      </c>
      <c r="N6" s="112">
        <v>50</v>
      </c>
      <c r="P6" s="1"/>
      <c r="Q6" s="1"/>
      <c r="R6" s="1"/>
      <c r="S6" s="1"/>
      <c r="T6" s="1"/>
      <c r="U6" s="1"/>
      <c r="Y6" s="1"/>
      <c r="AB6" s="1"/>
    </row>
    <row r="7" spans="1:28" ht="15.75" customHeight="1">
      <c r="A7" s="110" t="s">
        <v>19</v>
      </c>
      <c r="B7" s="110"/>
      <c r="C7" s="110" t="s">
        <v>591</v>
      </c>
      <c r="D7" s="111">
        <v>4</v>
      </c>
      <c r="E7" s="127">
        <f t="shared" si="0"/>
        <v>4.2</v>
      </c>
      <c r="F7" s="114" t="s">
        <v>692</v>
      </c>
      <c r="G7" s="112" t="s">
        <v>1121</v>
      </c>
      <c r="H7" s="110" t="s">
        <v>1035</v>
      </c>
      <c r="I7" s="112" t="s">
        <v>1201</v>
      </c>
      <c r="J7" s="111">
        <v>1</v>
      </c>
      <c r="K7" s="111">
        <v>10</v>
      </c>
      <c r="L7" s="112">
        <v>200</v>
      </c>
      <c r="M7" s="112">
        <v>10</v>
      </c>
      <c r="N7" s="112">
        <v>50</v>
      </c>
      <c r="P7" s="1"/>
      <c r="Q7" s="1"/>
      <c r="R7" s="1"/>
      <c r="S7" s="1"/>
      <c r="T7" s="1"/>
      <c r="U7" s="1"/>
      <c r="Y7" s="1"/>
      <c r="AB7" s="1"/>
    </row>
    <row r="8" spans="1:28" ht="15.75" customHeight="1">
      <c r="A8" s="110" t="s">
        <v>20</v>
      </c>
      <c r="B8" s="1" t="s">
        <v>1202</v>
      </c>
      <c r="C8" s="110" t="s">
        <v>591</v>
      </c>
      <c r="D8" s="111">
        <v>4</v>
      </c>
      <c r="E8" s="127">
        <f t="shared" si="0"/>
        <v>4.2</v>
      </c>
      <c r="F8" s="114" t="s">
        <v>692</v>
      </c>
      <c r="G8" s="112" t="s">
        <v>1121</v>
      </c>
      <c r="H8" s="110" t="s">
        <v>1003</v>
      </c>
      <c r="I8" s="112" t="s">
        <v>1203</v>
      </c>
      <c r="J8" s="112">
        <v>2</v>
      </c>
      <c r="K8" s="111">
        <v>10</v>
      </c>
      <c r="L8" s="112">
        <v>200</v>
      </c>
      <c r="M8" s="112">
        <v>10</v>
      </c>
      <c r="N8" s="112">
        <v>50</v>
      </c>
      <c r="P8" s="1"/>
      <c r="Q8" s="1"/>
      <c r="R8" s="1"/>
      <c r="S8" s="1"/>
      <c r="T8" s="1"/>
      <c r="U8" s="1"/>
      <c r="X8" s="166"/>
      <c r="Y8" s="103"/>
      <c r="Z8" s="166"/>
      <c r="AA8" s="166"/>
      <c r="AB8" s="103"/>
    </row>
    <row r="9" spans="1:28" ht="15.75" customHeight="1">
      <c r="A9" s="110" t="s">
        <v>21</v>
      </c>
      <c r="B9" s="1" t="s">
        <v>511</v>
      </c>
      <c r="C9" s="110" t="s">
        <v>591</v>
      </c>
      <c r="D9" s="111">
        <v>4</v>
      </c>
      <c r="E9" s="127">
        <f t="shared" si="0"/>
        <v>4.2</v>
      </c>
      <c r="F9" s="114" t="s">
        <v>692</v>
      </c>
      <c r="G9" s="112" t="s">
        <v>1121</v>
      </c>
      <c r="H9" s="110" t="s">
        <v>1003</v>
      </c>
      <c r="I9" s="112" t="s">
        <v>1203</v>
      </c>
      <c r="J9" s="112">
        <v>2</v>
      </c>
      <c r="K9" s="111">
        <v>10</v>
      </c>
      <c r="L9" s="112">
        <v>200</v>
      </c>
      <c r="M9" s="112">
        <v>10</v>
      </c>
      <c r="N9" s="112">
        <v>50</v>
      </c>
      <c r="P9" s="1"/>
      <c r="Q9" s="1"/>
      <c r="R9" s="1"/>
      <c r="S9" s="1"/>
      <c r="T9" s="1"/>
      <c r="X9" s="166"/>
      <c r="Y9" s="166"/>
      <c r="Z9" s="176"/>
      <c r="AB9" s="1"/>
    </row>
    <row r="10" spans="1:28" ht="15.75" customHeight="1">
      <c r="A10" s="110" t="s">
        <v>1076</v>
      </c>
      <c r="B10" s="1" t="s">
        <v>511</v>
      </c>
      <c r="C10" s="110" t="s">
        <v>591</v>
      </c>
      <c r="D10" s="111">
        <v>4</v>
      </c>
      <c r="E10" s="127">
        <f t="shared" si="0"/>
        <v>4.2</v>
      </c>
      <c r="F10" s="114" t="s">
        <v>692</v>
      </c>
      <c r="G10" s="112" t="s">
        <v>1121</v>
      </c>
      <c r="H10" s="110" t="s">
        <v>1003</v>
      </c>
      <c r="I10" s="112" t="s">
        <v>1203</v>
      </c>
      <c r="J10" s="112">
        <v>2</v>
      </c>
      <c r="K10" s="111">
        <v>10</v>
      </c>
      <c r="L10" s="112">
        <v>200</v>
      </c>
      <c r="M10" s="112">
        <v>10</v>
      </c>
      <c r="N10" s="112">
        <v>50</v>
      </c>
      <c r="P10" s="1"/>
      <c r="Q10" s="1"/>
      <c r="R10" s="1"/>
      <c r="S10" s="1"/>
      <c r="T10" s="1"/>
      <c r="U10" s="1"/>
      <c r="Y10" s="1"/>
      <c r="AB10" s="1"/>
    </row>
    <row r="11" spans="1:28" ht="15.75" customHeight="1">
      <c r="A11" s="110" t="s">
        <v>23</v>
      </c>
      <c r="B11" s="110" t="s">
        <v>1204</v>
      </c>
      <c r="C11" s="110" t="s">
        <v>591</v>
      </c>
      <c r="D11" s="112">
        <v>4</v>
      </c>
      <c r="E11" s="127">
        <f t="shared" si="0"/>
        <v>4.2</v>
      </c>
      <c r="F11" s="114" t="s">
        <v>692</v>
      </c>
      <c r="G11" s="112" t="s">
        <v>1121</v>
      </c>
      <c r="H11" s="110" t="s">
        <v>1003</v>
      </c>
      <c r="I11" s="112" t="s">
        <v>1205</v>
      </c>
      <c r="J11" s="111">
        <v>1</v>
      </c>
      <c r="K11" s="111">
        <v>10</v>
      </c>
      <c r="L11" s="112">
        <v>200</v>
      </c>
      <c r="M11" s="112">
        <v>10</v>
      </c>
      <c r="N11" s="112">
        <v>50</v>
      </c>
      <c r="P11" s="1"/>
      <c r="Q11" s="1"/>
      <c r="R11" s="1"/>
      <c r="S11" s="1"/>
      <c r="T11" s="1"/>
      <c r="U11" s="1"/>
      <c r="Y11" s="1"/>
      <c r="AB11" s="1"/>
    </row>
    <row r="12" spans="1:28" ht="15.75" customHeight="1">
      <c r="A12" s="110" t="s">
        <v>24</v>
      </c>
      <c r="B12" s="110" t="s">
        <v>513</v>
      </c>
      <c r="C12" s="110" t="s">
        <v>591</v>
      </c>
      <c r="D12" s="112">
        <v>4</v>
      </c>
      <c r="E12" s="127">
        <f t="shared" si="0"/>
        <v>4.2</v>
      </c>
      <c r="F12" s="114" t="s">
        <v>692</v>
      </c>
      <c r="G12" s="112" t="s">
        <v>1121</v>
      </c>
      <c r="H12" s="110" t="s">
        <v>1003</v>
      </c>
      <c r="I12" s="112" t="s">
        <v>1205</v>
      </c>
      <c r="J12" s="111">
        <v>1</v>
      </c>
      <c r="K12" s="111">
        <v>10</v>
      </c>
      <c r="L12" s="112">
        <v>200</v>
      </c>
      <c r="M12" s="112">
        <v>10</v>
      </c>
      <c r="N12" s="112">
        <v>50</v>
      </c>
      <c r="P12" s="1"/>
      <c r="Q12" s="1"/>
      <c r="R12" s="1"/>
      <c r="S12" s="1"/>
      <c r="T12" s="1"/>
      <c r="U12" s="1"/>
    </row>
    <row r="13" spans="1:28" ht="15.75" customHeight="1">
      <c r="A13" s="110" t="s">
        <v>25</v>
      </c>
      <c r="B13" s="110" t="s">
        <v>513</v>
      </c>
      <c r="C13" s="110" t="s">
        <v>591</v>
      </c>
      <c r="D13" s="112">
        <v>4</v>
      </c>
      <c r="E13" s="127">
        <f t="shared" si="0"/>
        <v>4.2</v>
      </c>
      <c r="F13" s="114" t="s">
        <v>692</v>
      </c>
      <c r="G13" s="112" t="s">
        <v>1121</v>
      </c>
      <c r="H13" s="110" t="s">
        <v>1003</v>
      </c>
      <c r="I13" s="112" t="s">
        <v>1205</v>
      </c>
      <c r="J13" s="111">
        <v>1</v>
      </c>
      <c r="K13" s="111">
        <v>10</v>
      </c>
      <c r="L13" s="112">
        <v>200</v>
      </c>
      <c r="M13" s="112">
        <v>10</v>
      </c>
      <c r="N13" s="112">
        <v>50</v>
      </c>
      <c r="P13" s="1"/>
      <c r="Q13" s="1"/>
      <c r="R13" s="1"/>
      <c r="S13" s="1"/>
      <c r="T13" s="1"/>
      <c r="U13" s="1"/>
    </row>
    <row r="14" spans="1:28" ht="15.75" customHeight="1">
      <c r="A14" s="110" t="s">
        <v>26</v>
      </c>
      <c r="B14" s="110" t="s">
        <v>515</v>
      </c>
      <c r="C14" s="110" t="s">
        <v>591</v>
      </c>
      <c r="D14" s="112">
        <v>4</v>
      </c>
      <c r="E14" s="127">
        <f t="shared" si="0"/>
        <v>4.2</v>
      </c>
      <c r="F14" s="110" t="s">
        <v>1206</v>
      </c>
      <c r="G14" s="112" t="s">
        <v>1121</v>
      </c>
      <c r="H14" s="110" t="s">
        <v>1003</v>
      </c>
      <c r="I14" s="112" t="s">
        <v>1207</v>
      </c>
      <c r="J14" s="112">
        <v>3</v>
      </c>
      <c r="K14" s="111">
        <v>10</v>
      </c>
      <c r="L14" s="112">
        <v>200</v>
      </c>
      <c r="M14" s="112">
        <v>10</v>
      </c>
      <c r="N14" s="112">
        <v>50</v>
      </c>
      <c r="P14" s="1"/>
      <c r="Q14" s="1"/>
      <c r="R14" s="1"/>
      <c r="S14" s="1"/>
      <c r="T14" s="1"/>
      <c r="U14" s="1"/>
      <c r="Y14" s="1"/>
      <c r="AB14" s="1"/>
    </row>
    <row r="15" spans="1:28" ht="15.75" customHeight="1">
      <c r="A15" s="110" t="s">
        <v>27</v>
      </c>
      <c r="B15" s="110" t="s">
        <v>515</v>
      </c>
      <c r="C15" s="110" t="s">
        <v>591</v>
      </c>
      <c r="D15" s="112">
        <v>4</v>
      </c>
      <c r="E15" s="127">
        <f t="shared" si="0"/>
        <v>4.2</v>
      </c>
      <c r="F15" s="110" t="s">
        <v>1206</v>
      </c>
      <c r="G15" s="112" t="s">
        <v>1121</v>
      </c>
      <c r="H15" s="110" t="s">
        <v>1003</v>
      </c>
      <c r="I15" s="112" t="s">
        <v>1207</v>
      </c>
      <c r="J15" s="112">
        <v>3</v>
      </c>
      <c r="K15" s="111">
        <v>10</v>
      </c>
      <c r="L15" s="112">
        <v>200</v>
      </c>
      <c r="M15" s="112">
        <v>10</v>
      </c>
      <c r="N15" s="112">
        <v>50</v>
      </c>
      <c r="P15" s="1"/>
      <c r="Q15" s="1"/>
      <c r="R15" s="1"/>
      <c r="S15" s="1"/>
      <c r="T15" s="1"/>
      <c r="U15" s="1"/>
    </row>
    <row r="16" spans="1:28" ht="15.75" customHeight="1">
      <c r="A16" s="110" t="s">
        <v>28</v>
      </c>
      <c r="B16" s="110" t="s">
        <v>515</v>
      </c>
      <c r="C16" s="110" t="s">
        <v>591</v>
      </c>
      <c r="D16" s="112">
        <v>4</v>
      </c>
      <c r="E16" s="127">
        <f t="shared" si="0"/>
        <v>4.2</v>
      </c>
      <c r="F16" s="110" t="s">
        <v>1206</v>
      </c>
      <c r="G16" s="112" t="s">
        <v>1121</v>
      </c>
      <c r="H16" s="110" t="s">
        <v>1003</v>
      </c>
      <c r="I16" s="112" t="s">
        <v>1207</v>
      </c>
      <c r="J16" s="112">
        <v>3</v>
      </c>
      <c r="K16" s="111">
        <v>10</v>
      </c>
      <c r="L16" s="112">
        <v>200</v>
      </c>
      <c r="M16" s="112">
        <v>10</v>
      </c>
      <c r="N16" s="112">
        <v>50</v>
      </c>
      <c r="P16" s="1"/>
      <c r="Q16" s="1"/>
      <c r="R16" s="1"/>
      <c r="S16" s="1"/>
      <c r="T16" s="1"/>
      <c r="U16" s="1"/>
      <c r="AB16" s="1"/>
    </row>
    <row r="17" spans="1:25" ht="15.75" customHeight="1">
      <c r="A17" s="110" t="s">
        <v>29</v>
      </c>
      <c r="B17" s="110" t="s">
        <v>1208</v>
      </c>
      <c r="C17" s="110" t="s">
        <v>591</v>
      </c>
      <c r="D17" s="112">
        <v>4</v>
      </c>
      <c r="E17" s="127">
        <f t="shared" si="0"/>
        <v>4.2</v>
      </c>
      <c r="F17" s="114" t="s">
        <v>692</v>
      </c>
      <c r="G17" s="112" t="s">
        <v>1121</v>
      </c>
      <c r="H17" s="110" t="s">
        <v>1003</v>
      </c>
      <c r="I17" s="112" t="s">
        <v>1209</v>
      </c>
      <c r="J17" s="111">
        <v>1</v>
      </c>
      <c r="K17" s="111">
        <v>10</v>
      </c>
      <c r="L17" s="112">
        <v>200</v>
      </c>
      <c r="M17" s="112">
        <v>10</v>
      </c>
      <c r="N17" s="112">
        <v>50</v>
      </c>
      <c r="P17" s="1"/>
      <c r="Q17" s="1"/>
      <c r="R17" s="1"/>
      <c r="S17" s="1"/>
      <c r="T17" s="1"/>
      <c r="U17" s="1"/>
      <c r="Y17" s="1"/>
    </row>
    <row r="18" spans="1:25" ht="15.75" customHeight="1">
      <c r="A18" s="110" t="s">
        <v>30</v>
      </c>
      <c r="B18" s="110" t="s">
        <v>1208</v>
      </c>
      <c r="C18" s="110" t="s">
        <v>591</v>
      </c>
      <c r="D18" s="112">
        <v>4</v>
      </c>
      <c r="E18" s="127">
        <f t="shared" si="0"/>
        <v>4.2</v>
      </c>
      <c r="F18" s="114" t="s">
        <v>692</v>
      </c>
      <c r="G18" s="112" t="s">
        <v>1121</v>
      </c>
      <c r="H18" s="110" t="s">
        <v>1003</v>
      </c>
      <c r="I18" s="112" t="s">
        <v>1209</v>
      </c>
      <c r="J18" s="111">
        <v>1</v>
      </c>
      <c r="K18" s="111">
        <v>10</v>
      </c>
      <c r="L18" s="112">
        <v>200</v>
      </c>
      <c r="M18" s="112">
        <v>10</v>
      </c>
      <c r="N18" s="112">
        <v>50</v>
      </c>
      <c r="P18" s="1"/>
      <c r="Q18" s="1"/>
      <c r="R18" s="1"/>
      <c r="S18" s="1"/>
      <c r="T18" s="1"/>
      <c r="U18" s="1"/>
    </row>
    <row r="19" spans="1:25" ht="15.75" customHeight="1">
      <c r="A19" s="110" t="s">
        <v>31</v>
      </c>
      <c r="B19" s="110" t="s">
        <v>1208</v>
      </c>
      <c r="C19" s="110" t="s">
        <v>591</v>
      </c>
      <c r="D19" s="112">
        <v>4</v>
      </c>
      <c r="E19" s="127">
        <f t="shared" si="0"/>
        <v>4.2</v>
      </c>
      <c r="F19" s="114" t="s">
        <v>692</v>
      </c>
      <c r="G19" s="112" t="s">
        <v>1121</v>
      </c>
      <c r="H19" s="110" t="s">
        <v>1003</v>
      </c>
      <c r="I19" s="112" t="s">
        <v>1209</v>
      </c>
      <c r="J19" s="111">
        <v>1</v>
      </c>
      <c r="K19" s="111">
        <v>10</v>
      </c>
      <c r="L19" s="112">
        <v>200</v>
      </c>
      <c r="M19" s="112">
        <v>10</v>
      </c>
      <c r="N19" s="112">
        <v>50</v>
      </c>
      <c r="P19" s="1"/>
      <c r="Q19" s="1"/>
      <c r="R19" s="1"/>
      <c r="S19" s="1"/>
      <c r="T19" s="1"/>
      <c r="U19" s="1"/>
    </row>
    <row r="20" spans="1:25" ht="15.75" customHeight="1">
      <c r="A20" s="110" t="s">
        <v>32</v>
      </c>
      <c r="B20" s="110" t="s">
        <v>1210</v>
      </c>
      <c r="C20" s="110" t="s">
        <v>591</v>
      </c>
      <c r="D20" s="112">
        <v>4</v>
      </c>
      <c r="E20" s="127">
        <f t="shared" si="0"/>
        <v>4.2</v>
      </c>
      <c r="F20" s="114" t="s">
        <v>692</v>
      </c>
      <c r="G20" s="112" t="s">
        <v>1121</v>
      </c>
      <c r="H20" s="110" t="s">
        <v>1003</v>
      </c>
      <c r="I20" s="112" t="s">
        <v>1211</v>
      </c>
      <c r="J20" s="111">
        <v>1</v>
      </c>
      <c r="K20" s="111">
        <v>10</v>
      </c>
      <c r="L20" s="112">
        <v>200</v>
      </c>
      <c r="M20" s="112">
        <v>10</v>
      </c>
      <c r="N20" s="112">
        <v>50</v>
      </c>
      <c r="P20" s="1"/>
      <c r="Q20" s="1"/>
      <c r="R20" s="1"/>
      <c r="S20" s="1"/>
      <c r="T20" s="1"/>
      <c r="U20" s="1"/>
      <c r="Y20" s="1"/>
    </row>
    <row r="21" spans="1:25" ht="15.75" customHeight="1">
      <c r="A21" s="110" t="s">
        <v>34</v>
      </c>
      <c r="B21" s="110" t="s">
        <v>1210</v>
      </c>
      <c r="C21" s="110" t="s">
        <v>591</v>
      </c>
      <c r="D21" s="112">
        <v>4</v>
      </c>
      <c r="E21" s="127">
        <f t="shared" si="0"/>
        <v>4.2</v>
      </c>
      <c r="F21" s="114" t="s">
        <v>692</v>
      </c>
      <c r="G21" s="112" t="s">
        <v>1121</v>
      </c>
      <c r="H21" s="110" t="s">
        <v>1003</v>
      </c>
      <c r="I21" s="112" t="s">
        <v>1211</v>
      </c>
      <c r="J21" s="111">
        <v>1</v>
      </c>
      <c r="K21" s="111">
        <v>10</v>
      </c>
      <c r="L21" s="112">
        <v>200</v>
      </c>
      <c r="M21" s="112">
        <v>10</v>
      </c>
      <c r="N21" s="112">
        <v>50</v>
      </c>
      <c r="P21" s="1"/>
      <c r="Q21" s="1"/>
      <c r="R21" s="1"/>
      <c r="S21" s="1"/>
      <c r="T21" s="1"/>
      <c r="U21" s="1"/>
    </row>
    <row r="22" spans="1:25" ht="15.75" customHeight="1">
      <c r="A22" s="110" t="s">
        <v>36</v>
      </c>
      <c r="B22" s="110" t="s">
        <v>1210</v>
      </c>
      <c r="C22" s="110" t="s">
        <v>591</v>
      </c>
      <c r="D22" s="112">
        <v>4</v>
      </c>
      <c r="E22" s="127">
        <f t="shared" si="0"/>
        <v>4.2</v>
      </c>
      <c r="F22" s="114" t="s">
        <v>692</v>
      </c>
      <c r="G22" s="112" t="s">
        <v>1121</v>
      </c>
      <c r="H22" s="110" t="s">
        <v>1003</v>
      </c>
      <c r="I22" s="112" t="s">
        <v>1211</v>
      </c>
      <c r="J22" s="111">
        <v>1</v>
      </c>
      <c r="K22" s="111">
        <v>10</v>
      </c>
      <c r="L22" s="112">
        <v>200</v>
      </c>
      <c r="M22" s="112">
        <v>10</v>
      </c>
      <c r="N22" s="112">
        <v>50</v>
      </c>
      <c r="P22" s="1"/>
      <c r="Q22" s="1"/>
      <c r="R22" s="1"/>
      <c r="S22" s="1"/>
      <c r="T22" s="1"/>
      <c r="U22" s="1"/>
    </row>
    <row r="23" spans="1:25" ht="15.75" customHeight="1">
      <c r="A23" s="114"/>
      <c r="I23" s="112"/>
      <c r="R23" s="1"/>
      <c r="T23" s="1"/>
      <c r="U23" s="1"/>
      <c r="V23" s="1"/>
    </row>
    <row r="24" spans="1:25" ht="15.75" customHeight="1">
      <c r="A24" s="114"/>
      <c r="B24" s="114"/>
      <c r="C24" s="114" t="s">
        <v>300</v>
      </c>
      <c r="D24" s="127">
        <f>SUM(D5:D23)</f>
        <v>72</v>
      </c>
      <c r="K24" s="1" t="s">
        <v>1212</v>
      </c>
      <c r="L24">
        <f>SUM(L5:L13,L17:L22)</f>
        <v>3000</v>
      </c>
      <c r="R24" s="1"/>
      <c r="T24" s="1"/>
      <c r="U24" s="1"/>
      <c r="V24" s="1"/>
    </row>
    <row r="25" spans="1:25" ht="15.75" customHeight="1">
      <c r="A25" s="114"/>
      <c r="R25" s="1"/>
      <c r="T25" s="1"/>
      <c r="U25" s="1"/>
      <c r="V25" s="1"/>
      <c r="X25" s="124"/>
    </row>
    <row r="26" spans="1:25" ht="15.75" customHeight="1">
      <c r="A26" s="125" t="s">
        <v>1040</v>
      </c>
      <c r="B26" s="1"/>
      <c r="C26" s="1" t="s">
        <v>1041</v>
      </c>
      <c r="E26" s="1"/>
      <c r="L26" s="125" t="s">
        <v>968</v>
      </c>
      <c r="M26" s="114"/>
      <c r="N26" s="114"/>
      <c r="R26" s="1"/>
      <c r="T26" s="1"/>
      <c r="U26" s="1"/>
      <c r="V26" s="1"/>
      <c r="X26" s="124"/>
    </row>
    <row r="27" spans="1:25" ht="15.75" customHeight="1">
      <c r="A27" s="1" t="s">
        <v>1213</v>
      </c>
      <c r="D27" s="1" t="s">
        <v>1167</v>
      </c>
      <c r="E27" s="1"/>
      <c r="L27" s="114" t="s">
        <v>970</v>
      </c>
      <c r="M27" s="114" t="s">
        <v>47</v>
      </c>
      <c r="N27" s="114" t="s">
        <v>300</v>
      </c>
      <c r="R27" s="1"/>
      <c r="T27" s="1"/>
      <c r="U27" s="1"/>
      <c r="V27" s="1"/>
      <c r="X27" s="124"/>
    </row>
    <row r="28" spans="1:25" ht="15.75" customHeight="1">
      <c r="A28" s="1" t="s">
        <v>1214</v>
      </c>
      <c r="E28" s="1"/>
      <c r="K28" s="1" t="s">
        <v>1215</v>
      </c>
      <c r="L28" s="125" t="s">
        <v>301</v>
      </c>
      <c r="M28" s="126">
        <v>0.3</v>
      </c>
      <c r="R28" s="1"/>
      <c r="T28" s="1"/>
      <c r="U28" s="1"/>
      <c r="V28" s="1"/>
      <c r="X28" s="124"/>
    </row>
    <row r="29" spans="1:25" ht="15.75" customHeight="1">
      <c r="A29" s="1" t="s">
        <v>1216</v>
      </c>
      <c r="E29" s="1"/>
      <c r="L29" s="112">
        <v>800</v>
      </c>
      <c r="M29" s="127">
        <f>L29/M28-L29</f>
        <v>1866.666666666667</v>
      </c>
      <c r="N29" s="127">
        <f>SUM(L29:M29)</f>
        <v>2666.666666666667</v>
      </c>
      <c r="R29" s="1"/>
      <c r="T29" s="1"/>
      <c r="U29" s="1"/>
      <c r="V29" s="1"/>
      <c r="X29" s="124"/>
    </row>
    <row r="30" spans="1:25" ht="15.75" customHeight="1">
      <c r="A30" s="1" t="s">
        <v>1217</v>
      </c>
      <c r="E30" s="1"/>
      <c r="K30" s="1" t="s">
        <v>1218</v>
      </c>
      <c r="L30" s="168" t="s">
        <v>99</v>
      </c>
      <c r="M30" s="112">
        <v>0.3</v>
      </c>
      <c r="N30" s="127"/>
    </row>
    <row r="31" spans="1:25" ht="15.75" customHeight="1">
      <c r="A31" s="1" t="s">
        <v>1219</v>
      </c>
      <c r="E31" s="1"/>
      <c r="L31" s="112">
        <v>200</v>
      </c>
      <c r="M31" s="127">
        <f>L31/M30-L31</f>
        <v>466.66666666666674</v>
      </c>
      <c r="N31" s="127">
        <f>SUM(L31:M31)</f>
        <v>666.66666666666674</v>
      </c>
      <c r="P31" s="1"/>
      <c r="Q31" s="1"/>
    </row>
    <row r="32" spans="1:25" ht="15.75" customHeight="1">
      <c r="A32" s="1" t="s">
        <v>1220</v>
      </c>
      <c r="E32" s="1"/>
      <c r="K32" s="1" t="s">
        <v>1221</v>
      </c>
      <c r="L32" s="168" t="s">
        <v>101</v>
      </c>
      <c r="M32" s="112">
        <v>0.3</v>
      </c>
      <c r="N32" s="127"/>
      <c r="P32" s="1"/>
      <c r="Q32" s="1"/>
      <c r="R32" s="1"/>
    </row>
    <row r="33" spans="1:23" ht="15.75" customHeight="1">
      <c r="A33" s="1" t="s">
        <v>1222</v>
      </c>
      <c r="L33" s="112">
        <v>200</v>
      </c>
      <c r="M33" s="127">
        <f>L33/M32-L33</f>
        <v>466.66666666666674</v>
      </c>
      <c r="N33" s="127">
        <f>SUM(L33:M33)</f>
        <v>666.66666666666674</v>
      </c>
      <c r="Q33" s="1"/>
      <c r="R33" s="1"/>
      <c r="S33" s="1"/>
      <c r="T33" s="1"/>
      <c r="V33" s="1"/>
      <c r="W33" s="1"/>
    </row>
    <row r="34" spans="1:23" ht="15.75" customHeight="1">
      <c r="A34" s="1"/>
      <c r="K34" s="1"/>
      <c r="L34" s="5"/>
      <c r="M34" s="1"/>
      <c r="Q34" s="1"/>
      <c r="R34" s="1"/>
      <c r="S34" s="1"/>
      <c r="T34" s="1"/>
      <c r="V34" s="1"/>
      <c r="W34" s="1"/>
    </row>
    <row r="35" spans="1:23" ht="15.75" customHeight="1">
      <c r="A35" s="1"/>
      <c r="L35" s="112"/>
      <c r="M35" s="127"/>
      <c r="N35" s="127"/>
      <c r="Q35" s="1"/>
      <c r="R35" s="1"/>
      <c r="S35" s="1"/>
      <c r="T35" s="1"/>
      <c r="W35" s="1"/>
    </row>
    <row r="36" spans="1:23" ht="15.75" customHeight="1">
      <c r="Q36" s="1"/>
      <c r="R36" s="1"/>
      <c r="S36" s="1"/>
      <c r="T36" s="1"/>
      <c r="W36" s="1"/>
    </row>
    <row r="37" spans="1:23" ht="15.75" customHeight="1">
      <c r="M37" s="127"/>
      <c r="Q37" s="1"/>
      <c r="R37" s="1"/>
      <c r="S37" s="1"/>
      <c r="T37" s="1"/>
      <c r="W37" s="1"/>
    </row>
    <row r="38" spans="1:23" ht="15.75" customHeight="1">
      <c r="S38" s="1"/>
      <c r="T38" s="1"/>
      <c r="V38" s="1"/>
      <c r="W38" s="1"/>
    </row>
    <row r="39" spans="1:23" ht="12.75">
      <c r="S39" s="1"/>
      <c r="T39" s="1"/>
      <c r="V39" s="1"/>
      <c r="W39" s="1"/>
    </row>
    <row r="40" spans="1:23" ht="12.75">
      <c r="S40" s="114"/>
      <c r="T40" s="1"/>
      <c r="V40" s="1"/>
      <c r="W40" s="1"/>
    </row>
    <row r="41" spans="1:23" ht="12.75">
      <c r="S41" s="114"/>
      <c r="V41" s="1"/>
      <c r="W41" s="1"/>
    </row>
    <row r="42" spans="1:23" ht="12.75">
      <c r="S42" s="114"/>
      <c r="V42" s="1"/>
      <c r="W42" s="1"/>
    </row>
    <row r="43" spans="1:23" ht="12.75">
      <c r="S43" s="114"/>
      <c r="V43" s="1"/>
      <c r="W43" s="1"/>
    </row>
    <row r="44" spans="1:23" ht="12.75">
      <c r="S44" s="110"/>
      <c r="V44" s="1"/>
      <c r="W44" s="1"/>
    </row>
    <row r="45" spans="1:23" ht="12.75">
      <c r="S45" s="110"/>
      <c r="V45" s="1"/>
      <c r="W45" s="1"/>
    </row>
    <row r="46" spans="1:23" ht="12.75">
      <c r="S46" s="110"/>
      <c r="V46" s="1"/>
      <c r="W46" s="1"/>
    </row>
    <row r="47" spans="1:23" ht="12.75">
      <c r="S47" s="110"/>
      <c r="V47" s="1"/>
      <c r="W47" s="1"/>
    </row>
    <row r="48" spans="1:23" ht="12.75">
      <c r="S48" s="110"/>
      <c r="V48" s="1"/>
      <c r="W48" s="1"/>
    </row>
    <row r="49" spans="19:26" ht="12.75">
      <c r="S49" s="110"/>
      <c r="W49" s="1"/>
      <c r="Z49" s="1"/>
    </row>
    <row r="50" spans="19:26" ht="12.75">
      <c r="S50" s="110"/>
      <c r="V50" s="1"/>
      <c r="W50" s="1"/>
    </row>
    <row r="51" spans="19:26" ht="12.75">
      <c r="S51" s="110"/>
      <c r="W51" s="1"/>
    </row>
    <row r="52" spans="19:26" ht="12.75">
      <c r="S52" s="110"/>
      <c r="V52" s="1"/>
      <c r="W52" s="1"/>
    </row>
    <row r="53" spans="19:26" ht="12.75">
      <c r="S53" s="110"/>
      <c r="W53" s="1"/>
    </row>
    <row r="54" spans="19:26" ht="12.75">
      <c r="S54" s="110"/>
      <c r="W54" s="1"/>
    </row>
    <row r="55" spans="19:26" ht="12.75">
      <c r="S55" s="110"/>
      <c r="W55" s="1"/>
    </row>
    <row r="56" spans="19:26" ht="12.75">
      <c r="S56" s="110"/>
    </row>
    <row r="57" spans="19:26" ht="12.75">
      <c r="S57" s="110"/>
    </row>
    <row r="58" spans="19:26" ht="12.75">
      <c r="S58" s="1"/>
      <c r="T58" s="1"/>
      <c r="W58" s="1"/>
    </row>
    <row r="59" spans="19:26" ht="12.75">
      <c r="S59" s="1"/>
      <c r="T59" s="1"/>
      <c r="W59" s="1"/>
    </row>
    <row r="60" spans="19:26" ht="12.75">
      <c r="S60" s="1"/>
      <c r="T60" s="1"/>
      <c r="V60" s="1"/>
    </row>
    <row r="61" spans="19:26" ht="12.75">
      <c r="S61" s="1"/>
      <c r="T61" s="1"/>
      <c r="W61" s="1"/>
    </row>
    <row r="62" spans="19:26" ht="12.75">
      <c r="S62" s="1"/>
      <c r="T62" s="1"/>
    </row>
    <row r="63" spans="19:26" ht="12.75">
      <c r="S63" s="1"/>
      <c r="T63" s="1"/>
      <c r="W63" s="1"/>
    </row>
    <row r="64" spans="19:26" ht="12.75">
      <c r="S64" s="1"/>
      <c r="T64" s="1"/>
      <c r="W64" s="1"/>
    </row>
    <row r="65" spans="19:26" ht="12.75">
      <c r="S65" s="1"/>
      <c r="T65" s="1"/>
      <c r="W65" s="1"/>
    </row>
    <row r="66" spans="19:26" ht="12.75">
      <c r="S66" s="114"/>
      <c r="T66" s="1"/>
    </row>
    <row r="67" spans="19:26" ht="12.75">
      <c r="S67" s="114"/>
      <c r="V67" s="1"/>
    </row>
    <row r="68" spans="19:26" ht="12.75">
      <c r="S68" s="114"/>
      <c r="V68" s="1"/>
      <c r="W68" s="1"/>
    </row>
    <row r="69" spans="19:26" ht="12.75">
      <c r="S69" s="114"/>
      <c r="W69" s="1"/>
    </row>
    <row r="70" spans="19:26" ht="12.75">
      <c r="S70" s="110"/>
      <c r="V70" s="1"/>
      <c r="W70" s="1"/>
    </row>
    <row r="71" spans="19:26" ht="12.75">
      <c r="S71" s="110"/>
      <c r="W71" s="1"/>
    </row>
    <row r="72" spans="19:26" ht="12.75">
      <c r="S72" s="110"/>
      <c r="V72" s="1"/>
      <c r="W72" s="1"/>
    </row>
    <row r="73" spans="19:26" ht="12.75">
      <c r="S73" s="110"/>
    </row>
    <row r="74" spans="19:26" ht="12.75">
      <c r="S74" s="110"/>
      <c r="W74" s="1"/>
    </row>
    <row r="75" spans="19:26" ht="12.75">
      <c r="S75" s="110"/>
      <c r="V75" s="1"/>
      <c r="W75" s="1"/>
    </row>
    <row r="76" spans="19:26" ht="12.75">
      <c r="S76" s="110"/>
      <c r="W76" s="1"/>
    </row>
    <row r="77" spans="19:26" ht="12.75">
      <c r="S77" s="110"/>
    </row>
    <row r="78" spans="19:26" ht="12.75">
      <c r="S78" s="110"/>
      <c r="X78" s="1"/>
      <c r="Z78" s="1"/>
    </row>
    <row r="79" spans="19:26" ht="12.75">
      <c r="S79" s="110"/>
    </row>
    <row r="80" spans="19:26" ht="12.75">
      <c r="S80" s="110"/>
      <c r="W80" s="1"/>
    </row>
    <row r="81" spans="19:23" ht="12.75">
      <c r="S81" s="110"/>
    </row>
    <row r="82" spans="19:23" ht="12.75">
      <c r="S82" s="110"/>
      <c r="W82" s="1"/>
    </row>
    <row r="83" spans="19:23" ht="12.75">
      <c r="S83" s="110"/>
      <c r="W83" s="1"/>
    </row>
    <row r="84" spans="19:23" ht="12.75">
      <c r="S84" s="1"/>
      <c r="T84" s="1"/>
    </row>
    <row r="85" spans="19:23" ht="12.75">
      <c r="S85" s="1"/>
      <c r="T85" s="1"/>
    </row>
    <row r="86" spans="19:23" ht="12.75">
      <c r="S86" s="1"/>
      <c r="T86" s="1"/>
      <c r="W86" s="1"/>
    </row>
    <row r="87" spans="19:23" ht="12.75">
      <c r="S87" s="1"/>
      <c r="T87" s="1"/>
      <c r="W87" s="1"/>
    </row>
    <row r="88" spans="19:23" ht="12.75">
      <c r="S88" s="1"/>
      <c r="T88" s="1"/>
      <c r="W88" s="1"/>
    </row>
    <row r="89" spans="19:23" ht="12.75">
      <c r="S89" s="1"/>
      <c r="T89" s="1"/>
      <c r="W89" s="1"/>
    </row>
    <row r="90" spans="19:23" ht="12.75">
      <c r="S90" s="1"/>
      <c r="T90" s="1"/>
      <c r="V90" s="1"/>
      <c r="W90" s="1"/>
    </row>
    <row r="91" spans="19:23" ht="12.75">
      <c r="S91" s="1"/>
      <c r="T91" s="1"/>
      <c r="W91" s="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8"/>
  <sheetViews>
    <sheetView workbookViewId="0"/>
  </sheetViews>
  <sheetFormatPr defaultColWidth="14.42578125" defaultRowHeight="15.75" customHeight="1"/>
  <cols>
    <col min="7" max="7" width="16.7109375" customWidth="1"/>
    <col min="8" max="8" width="17" customWidth="1"/>
  </cols>
  <sheetData>
    <row r="1" spans="1:28" ht="15.75" customHeight="1">
      <c r="A1" s="1" t="s">
        <v>1223</v>
      </c>
    </row>
    <row r="3" spans="1:28" ht="15.75" customHeight="1">
      <c r="A3" s="114" t="s">
        <v>1</v>
      </c>
      <c r="B3" s="110" t="s">
        <v>658</v>
      </c>
      <c r="C3" s="114" t="s">
        <v>659</v>
      </c>
      <c r="D3" s="114" t="s">
        <v>660</v>
      </c>
      <c r="E3" s="114" t="s">
        <v>661</v>
      </c>
      <c r="F3" s="114" t="s">
        <v>1032</v>
      </c>
      <c r="G3" s="110" t="s">
        <v>1224</v>
      </c>
      <c r="H3" s="110" t="s">
        <v>585</v>
      </c>
      <c r="I3" s="110" t="s">
        <v>1200</v>
      </c>
      <c r="J3" s="114" t="s">
        <v>97</v>
      </c>
      <c r="K3" s="114" t="s">
        <v>664</v>
      </c>
      <c r="L3" s="114" t="s">
        <v>665</v>
      </c>
      <c r="M3" s="114" t="s">
        <v>666</v>
      </c>
      <c r="N3" s="114" t="s">
        <v>667</v>
      </c>
      <c r="P3" s="1" t="s">
        <v>6</v>
      </c>
      <c r="Q3" s="1" t="s">
        <v>7</v>
      </c>
      <c r="R3" s="1" t="s">
        <v>8</v>
      </c>
      <c r="S3" s="1" t="s">
        <v>9</v>
      </c>
      <c r="T3" s="1" t="s">
        <v>10</v>
      </c>
      <c r="V3" s="103" t="s">
        <v>11</v>
      </c>
      <c r="W3" s="103" t="s">
        <v>397</v>
      </c>
      <c r="X3" s="103" t="s">
        <v>1000</v>
      </c>
      <c r="Y3" s="1" t="s">
        <v>1112</v>
      </c>
      <c r="AA3" s="1" t="s">
        <v>1000</v>
      </c>
      <c r="AB3" s="1" t="s">
        <v>1225</v>
      </c>
    </row>
    <row r="4" spans="1:28" ht="15.75" customHeight="1">
      <c r="A4" s="114" t="s">
        <v>962</v>
      </c>
      <c r="B4" s="114"/>
      <c r="C4" s="114"/>
      <c r="D4" s="114"/>
      <c r="E4" s="114"/>
      <c r="F4" s="114"/>
      <c r="G4" s="114"/>
      <c r="H4" s="110"/>
      <c r="I4" s="114"/>
      <c r="J4" s="114"/>
      <c r="K4" s="114"/>
      <c r="L4" s="114"/>
      <c r="N4" s="114"/>
      <c r="W4" s="1">
        <v>340</v>
      </c>
      <c r="AB4" s="1"/>
    </row>
    <row r="5" spans="1:28" ht="15.75" customHeight="1">
      <c r="A5" s="114" t="s">
        <v>17</v>
      </c>
      <c r="C5" s="110" t="s">
        <v>591</v>
      </c>
      <c r="D5" s="111">
        <v>4</v>
      </c>
      <c r="E5" s="127">
        <f t="shared" ref="E5:E19" si="0">D5+L5/1000</f>
        <v>4.2</v>
      </c>
      <c r="F5" s="114" t="s">
        <v>692</v>
      </c>
      <c r="G5" s="112" t="s">
        <v>1121</v>
      </c>
      <c r="H5" s="110" t="s">
        <v>1035</v>
      </c>
      <c r="I5" s="112" t="s">
        <v>1226</v>
      </c>
      <c r="J5" s="111">
        <v>1</v>
      </c>
      <c r="K5" s="111">
        <v>10</v>
      </c>
      <c r="L5" s="112">
        <v>200</v>
      </c>
      <c r="M5" s="112">
        <v>10</v>
      </c>
      <c r="N5" s="112">
        <v>50</v>
      </c>
      <c r="P5" s="1">
        <v>12448.4</v>
      </c>
      <c r="Q5" s="1">
        <v>0</v>
      </c>
      <c r="R5" s="1">
        <v>336.3</v>
      </c>
      <c r="S5" s="1">
        <v>1271.4000000000001</v>
      </c>
      <c r="T5" s="1">
        <v>30.1</v>
      </c>
      <c r="U5" s="1"/>
      <c r="V5">
        <f t="shared" ref="V5:V19" si="1">$W$4/R5*S5</f>
        <v>1285.3880463871544</v>
      </c>
      <c r="X5" s="165">
        <f>AVERAGE(V5:V7)</f>
        <v>1309.155617293661</v>
      </c>
      <c r="Y5" s="103" t="s">
        <v>1227</v>
      </c>
      <c r="Z5" s="166"/>
      <c r="AA5" s="166">
        <v>1309.155617293661</v>
      </c>
      <c r="AB5" s="103">
        <v>1</v>
      </c>
    </row>
    <row r="6" spans="1:28" ht="15.75" customHeight="1">
      <c r="A6" s="114" t="s">
        <v>18</v>
      </c>
      <c r="C6" s="110" t="s">
        <v>591</v>
      </c>
      <c r="D6" s="111">
        <v>4</v>
      </c>
      <c r="E6" s="127">
        <f t="shared" si="0"/>
        <v>4.2</v>
      </c>
      <c r="F6" s="114" t="s">
        <v>692</v>
      </c>
      <c r="G6" s="112" t="s">
        <v>1121</v>
      </c>
      <c r="H6" s="110" t="s">
        <v>1035</v>
      </c>
      <c r="I6" s="112" t="s">
        <v>1226</v>
      </c>
      <c r="J6" s="111">
        <v>1</v>
      </c>
      <c r="K6" s="111">
        <v>10</v>
      </c>
      <c r="L6" s="112">
        <v>200</v>
      </c>
      <c r="M6" s="112">
        <v>10</v>
      </c>
      <c r="N6" s="112">
        <v>50</v>
      </c>
      <c r="P6" s="1">
        <v>12411.7</v>
      </c>
      <c r="Q6" s="1">
        <v>0</v>
      </c>
      <c r="R6" s="1">
        <v>331.3</v>
      </c>
      <c r="S6" s="1">
        <v>1310.7</v>
      </c>
      <c r="T6" s="1">
        <v>37.299999999999997</v>
      </c>
      <c r="V6">
        <f t="shared" si="1"/>
        <v>1345.1192272864473</v>
      </c>
      <c r="X6" s="166"/>
      <c r="Y6" s="166"/>
      <c r="Z6" s="176"/>
      <c r="AA6">
        <v>1117.9063014157853</v>
      </c>
      <c r="AB6" s="1">
        <v>2</v>
      </c>
    </row>
    <row r="7" spans="1:28" ht="15.75" customHeight="1">
      <c r="A7" s="114" t="s">
        <v>19</v>
      </c>
      <c r="C7" s="110" t="s">
        <v>591</v>
      </c>
      <c r="D7" s="111">
        <v>4</v>
      </c>
      <c r="E7" s="127">
        <f t="shared" si="0"/>
        <v>4.2</v>
      </c>
      <c r="F7" s="114" t="s">
        <v>692</v>
      </c>
      <c r="G7" s="112" t="s">
        <v>1121</v>
      </c>
      <c r="H7" s="110" t="s">
        <v>1035</v>
      </c>
      <c r="I7" s="112" t="s">
        <v>1226</v>
      </c>
      <c r="J7" s="111">
        <v>1</v>
      </c>
      <c r="K7" s="111">
        <v>10</v>
      </c>
      <c r="L7" s="112">
        <v>200</v>
      </c>
      <c r="M7" s="112">
        <v>10</v>
      </c>
      <c r="N7" s="112">
        <v>50</v>
      </c>
      <c r="P7" s="1">
        <v>12242.2</v>
      </c>
      <c r="Q7" s="1">
        <v>0</v>
      </c>
      <c r="R7" s="1">
        <v>341.4</v>
      </c>
      <c r="S7" s="1">
        <v>1302.3</v>
      </c>
      <c r="T7" s="1">
        <v>38.1</v>
      </c>
      <c r="U7" s="1"/>
      <c r="V7">
        <f t="shared" si="1"/>
        <v>1296.9595782073814</v>
      </c>
      <c r="Y7" s="1"/>
      <c r="AB7" s="1"/>
    </row>
    <row r="8" spans="1:28" ht="15.75" customHeight="1">
      <c r="A8" s="114" t="s">
        <v>20</v>
      </c>
      <c r="B8" s="110" t="s">
        <v>675</v>
      </c>
      <c r="C8" s="110" t="s">
        <v>591</v>
      </c>
      <c r="D8" s="112">
        <v>4</v>
      </c>
      <c r="E8" s="127">
        <f t="shared" si="0"/>
        <v>4.2</v>
      </c>
      <c r="F8" s="114" t="s">
        <v>692</v>
      </c>
      <c r="G8" s="112" t="s">
        <v>1121</v>
      </c>
      <c r="H8" s="110" t="s">
        <v>1003</v>
      </c>
      <c r="I8" s="112" t="s">
        <v>1203</v>
      </c>
      <c r="J8" s="111">
        <v>1</v>
      </c>
      <c r="K8" s="111">
        <v>10</v>
      </c>
      <c r="L8" s="112">
        <v>200</v>
      </c>
      <c r="M8" s="112">
        <v>10</v>
      </c>
      <c r="N8" s="112">
        <v>50</v>
      </c>
      <c r="P8" s="1">
        <v>12610</v>
      </c>
      <c r="Q8" s="1">
        <v>0</v>
      </c>
      <c r="R8" s="1">
        <v>344.1</v>
      </c>
      <c r="S8" s="1">
        <v>1128.3</v>
      </c>
      <c r="T8" s="1">
        <v>74.3</v>
      </c>
      <c r="U8" s="1"/>
      <c r="V8">
        <f t="shared" si="1"/>
        <v>1114.8561464690495</v>
      </c>
      <c r="X8">
        <f>AVERAGE(V8:V10)</f>
        <v>920.99937836945571</v>
      </c>
      <c r="Y8" s="1" t="s">
        <v>1228</v>
      </c>
      <c r="AA8">
        <v>920.99937836945571</v>
      </c>
      <c r="AB8" s="1">
        <v>3</v>
      </c>
    </row>
    <row r="9" spans="1:28" ht="15.75" customHeight="1">
      <c r="A9" s="114" t="s">
        <v>21</v>
      </c>
      <c r="B9" s="110" t="s">
        <v>675</v>
      </c>
      <c r="C9" s="110" t="s">
        <v>591</v>
      </c>
      <c r="D9" s="112">
        <v>4</v>
      </c>
      <c r="E9" s="127">
        <f t="shared" si="0"/>
        <v>4.2</v>
      </c>
      <c r="F9" s="114" t="s">
        <v>692</v>
      </c>
      <c r="G9" s="112" t="s">
        <v>1121</v>
      </c>
      <c r="H9" s="110" t="s">
        <v>1003</v>
      </c>
      <c r="I9" s="112" t="s">
        <v>1203</v>
      </c>
      <c r="J9" s="111">
        <v>1</v>
      </c>
      <c r="K9" s="111">
        <v>10</v>
      </c>
      <c r="L9" s="112">
        <v>200</v>
      </c>
      <c r="M9" s="112">
        <v>10</v>
      </c>
      <c r="N9" s="112">
        <v>50</v>
      </c>
      <c r="P9" s="1">
        <v>12842</v>
      </c>
      <c r="Q9" s="1">
        <v>0</v>
      </c>
      <c r="R9" s="1">
        <v>342.6</v>
      </c>
      <c r="S9" s="1">
        <v>973.6</v>
      </c>
      <c r="T9" s="1">
        <v>152.5</v>
      </c>
      <c r="U9" s="1"/>
      <c r="V9">
        <f t="shared" si="1"/>
        <v>966.21132516053706</v>
      </c>
    </row>
    <row r="10" spans="1:28" ht="15.75" customHeight="1">
      <c r="A10" s="114" t="s">
        <v>22</v>
      </c>
      <c r="B10" s="110" t="s">
        <v>675</v>
      </c>
      <c r="C10" s="110" t="s">
        <v>591</v>
      </c>
      <c r="D10" s="112">
        <v>4</v>
      </c>
      <c r="E10" s="127">
        <f t="shared" si="0"/>
        <v>4.2</v>
      </c>
      <c r="F10" s="114" t="s">
        <v>692</v>
      </c>
      <c r="G10" s="112" t="s">
        <v>1121</v>
      </c>
      <c r="H10" s="110" t="s">
        <v>1003</v>
      </c>
      <c r="I10" s="112" t="s">
        <v>1203</v>
      </c>
      <c r="J10" s="111">
        <v>1</v>
      </c>
      <c r="K10" s="111">
        <v>10</v>
      </c>
      <c r="L10" s="112">
        <v>200</v>
      </c>
      <c r="M10" s="112">
        <v>10</v>
      </c>
      <c r="N10" s="112">
        <v>50</v>
      </c>
      <c r="P10" s="1">
        <v>12843.2</v>
      </c>
      <c r="Q10" s="1">
        <v>0</v>
      </c>
      <c r="R10" s="1">
        <v>334.6</v>
      </c>
      <c r="S10" s="1">
        <v>671.1</v>
      </c>
      <c r="T10" s="1">
        <v>216.8</v>
      </c>
      <c r="U10" s="1"/>
      <c r="V10">
        <f t="shared" si="1"/>
        <v>681.93066347878062</v>
      </c>
    </row>
    <row r="11" spans="1:28" ht="15.75" customHeight="1">
      <c r="A11" s="110" t="s">
        <v>23</v>
      </c>
      <c r="B11" s="110" t="s">
        <v>1229</v>
      </c>
      <c r="C11" s="110" t="s">
        <v>591</v>
      </c>
      <c r="D11" s="112">
        <v>4</v>
      </c>
      <c r="E11" s="127">
        <f t="shared" si="0"/>
        <v>4.12</v>
      </c>
      <c r="F11" s="114" t="s">
        <v>692</v>
      </c>
      <c r="G11" s="112" t="s">
        <v>1121</v>
      </c>
      <c r="H11" s="110" t="s">
        <v>1003</v>
      </c>
      <c r="I11" s="112" t="s">
        <v>1203</v>
      </c>
      <c r="J11" s="112">
        <v>2</v>
      </c>
      <c r="K11" s="111">
        <v>10</v>
      </c>
      <c r="L11" s="112">
        <v>120</v>
      </c>
      <c r="M11" s="112">
        <v>10</v>
      </c>
      <c r="N11" s="112">
        <v>50</v>
      </c>
      <c r="P11" s="1">
        <v>12717.2</v>
      </c>
      <c r="Q11" s="1">
        <v>0</v>
      </c>
      <c r="R11" s="1">
        <v>341.6</v>
      </c>
      <c r="S11" s="1">
        <v>1001.5</v>
      </c>
      <c r="T11" s="1">
        <v>148.4</v>
      </c>
      <c r="U11" s="1"/>
      <c r="V11">
        <f t="shared" si="1"/>
        <v>996.80913348946126</v>
      </c>
      <c r="X11">
        <f>AVERAGE(V11:V13)</f>
        <v>903.67054604439681</v>
      </c>
      <c r="Y11" s="1" t="s">
        <v>1230</v>
      </c>
      <c r="AA11">
        <v>903.67054604439681</v>
      </c>
      <c r="AB11" s="1">
        <v>4</v>
      </c>
    </row>
    <row r="12" spans="1:28" ht="15.75" customHeight="1">
      <c r="A12" s="110" t="s">
        <v>24</v>
      </c>
      <c r="B12" s="110" t="s">
        <v>1229</v>
      </c>
      <c r="C12" s="110" t="s">
        <v>591</v>
      </c>
      <c r="D12" s="112">
        <v>4</v>
      </c>
      <c r="E12" s="127">
        <f t="shared" si="0"/>
        <v>4.12</v>
      </c>
      <c r="F12" s="114" t="s">
        <v>692</v>
      </c>
      <c r="G12" s="112" t="s">
        <v>1121</v>
      </c>
      <c r="H12" s="110" t="s">
        <v>1003</v>
      </c>
      <c r="I12" s="112" t="s">
        <v>1203</v>
      </c>
      <c r="J12" s="112">
        <v>2</v>
      </c>
      <c r="K12" s="111">
        <v>10</v>
      </c>
      <c r="L12" s="112">
        <v>120</v>
      </c>
      <c r="M12" s="112">
        <v>10</v>
      </c>
      <c r="N12" s="112">
        <v>50</v>
      </c>
      <c r="P12" s="1">
        <v>12361</v>
      </c>
      <c r="Q12" s="1">
        <v>0</v>
      </c>
      <c r="R12" s="1">
        <v>429.3</v>
      </c>
      <c r="S12" s="1">
        <v>880.1</v>
      </c>
      <c r="T12" s="1">
        <v>130.9</v>
      </c>
      <c r="U12" s="1"/>
      <c r="V12">
        <f t="shared" si="1"/>
        <v>697.0277195434428</v>
      </c>
    </row>
    <row r="13" spans="1:28" ht="15.75" customHeight="1">
      <c r="A13" s="110" t="s">
        <v>25</v>
      </c>
      <c r="B13" s="110" t="s">
        <v>1229</v>
      </c>
      <c r="C13" s="110" t="s">
        <v>591</v>
      </c>
      <c r="D13" s="112">
        <v>4</v>
      </c>
      <c r="E13" s="127">
        <f t="shared" si="0"/>
        <v>4.12</v>
      </c>
      <c r="F13" s="114" t="s">
        <v>692</v>
      </c>
      <c r="G13" s="112" t="s">
        <v>1121</v>
      </c>
      <c r="H13" s="110" t="s">
        <v>1003</v>
      </c>
      <c r="I13" s="112" t="s">
        <v>1203</v>
      </c>
      <c r="J13" s="112">
        <v>2</v>
      </c>
      <c r="K13" s="111">
        <v>10</v>
      </c>
      <c r="L13" s="112">
        <v>120</v>
      </c>
      <c r="M13" s="112">
        <v>10</v>
      </c>
      <c r="N13" s="112">
        <v>50</v>
      </c>
      <c r="P13" s="1">
        <v>12412</v>
      </c>
      <c r="Q13" s="1">
        <v>0</v>
      </c>
      <c r="R13" s="1">
        <v>349</v>
      </c>
      <c r="S13" s="1">
        <v>1044.0999999999999</v>
      </c>
      <c r="T13" s="1">
        <v>126.4</v>
      </c>
      <c r="U13" s="1"/>
      <c r="V13">
        <f t="shared" si="1"/>
        <v>1017.1747851002865</v>
      </c>
      <c r="AA13">
        <v>1204.3581003963993</v>
      </c>
      <c r="AB13" s="1">
        <v>5</v>
      </c>
    </row>
    <row r="14" spans="1:28" ht="15.75" customHeight="1">
      <c r="A14" s="110" t="s">
        <v>26</v>
      </c>
      <c r="B14" s="110" t="s">
        <v>678</v>
      </c>
      <c r="C14" s="110" t="s">
        <v>591</v>
      </c>
      <c r="D14" s="112">
        <v>4</v>
      </c>
      <c r="E14" s="127">
        <f t="shared" si="0"/>
        <v>4.2</v>
      </c>
      <c r="F14" s="114" t="s">
        <v>692</v>
      </c>
      <c r="G14" s="112" t="s">
        <v>1121</v>
      </c>
      <c r="H14" s="110" t="s">
        <v>1003</v>
      </c>
      <c r="I14" s="112" t="s">
        <v>1231</v>
      </c>
      <c r="J14" s="111">
        <v>1</v>
      </c>
      <c r="K14" s="111">
        <v>10</v>
      </c>
      <c r="L14" s="112">
        <v>200</v>
      </c>
      <c r="M14" s="112">
        <v>10</v>
      </c>
      <c r="N14" s="112">
        <v>50</v>
      </c>
      <c r="P14" s="1">
        <v>12389.3</v>
      </c>
      <c r="Q14" s="1">
        <v>0</v>
      </c>
      <c r="R14" s="1">
        <v>327</v>
      </c>
      <c r="S14" s="1">
        <v>1036.9000000000001</v>
      </c>
      <c r="T14" s="1">
        <v>84.4</v>
      </c>
      <c r="U14" s="1"/>
      <c r="V14">
        <f t="shared" si="1"/>
        <v>1078.1223241590214</v>
      </c>
      <c r="X14">
        <f>AVERAGE(V14:V16)</f>
        <v>1117.9063014157853</v>
      </c>
      <c r="Y14" s="1" t="s">
        <v>1232</v>
      </c>
    </row>
    <row r="15" spans="1:28" ht="15.75" customHeight="1">
      <c r="A15" s="110" t="s">
        <v>27</v>
      </c>
      <c r="B15" s="110" t="s">
        <v>678</v>
      </c>
      <c r="C15" s="110" t="s">
        <v>591</v>
      </c>
      <c r="D15" s="112">
        <v>4</v>
      </c>
      <c r="E15" s="127">
        <f t="shared" si="0"/>
        <v>4.2</v>
      </c>
      <c r="F15" s="114" t="s">
        <v>692</v>
      </c>
      <c r="G15" s="112" t="s">
        <v>1121</v>
      </c>
      <c r="H15" s="110" t="s">
        <v>1003</v>
      </c>
      <c r="I15" s="112" t="s">
        <v>1231</v>
      </c>
      <c r="J15" s="111">
        <v>1</v>
      </c>
      <c r="K15" s="111">
        <v>10</v>
      </c>
      <c r="L15" s="112">
        <v>200</v>
      </c>
      <c r="M15" s="112">
        <v>10</v>
      </c>
      <c r="N15" s="112">
        <v>50</v>
      </c>
      <c r="P15" s="1">
        <v>12141</v>
      </c>
      <c r="Q15" s="1">
        <v>0</v>
      </c>
      <c r="R15" s="1">
        <v>314.5</v>
      </c>
      <c r="S15" s="1">
        <v>998</v>
      </c>
      <c r="T15" s="1">
        <v>81</v>
      </c>
      <c r="U15" s="1"/>
      <c r="V15">
        <f t="shared" si="1"/>
        <v>1078.918918918919</v>
      </c>
    </row>
    <row r="16" spans="1:28" ht="15.75" customHeight="1">
      <c r="A16" s="110" t="s">
        <v>28</v>
      </c>
      <c r="B16" s="110" t="s">
        <v>678</v>
      </c>
      <c r="C16" s="110" t="s">
        <v>591</v>
      </c>
      <c r="D16" s="112">
        <v>4</v>
      </c>
      <c r="E16" s="127">
        <f t="shared" si="0"/>
        <v>4.2</v>
      </c>
      <c r="F16" s="114" t="s">
        <v>692</v>
      </c>
      <c r="G16" s="112" t="s">
        <v>1121</v>
      </c>
      <c r="H16" s="110" t="s">
        <v>1003</v>
      </c>
      <c r="I16" s="112" t="s">
        <v>1231</v>
      </c>
      <c r="J16" s="111">
        <v>1</v>
      </c>
      <c r="K16" s="111">
        <v>10</v>
      </c>
      <c r="L16" s="112">
        <v>200</v>
      </c>
      <c r="M16" s="112">
        <v>10</v>
      </c>
      <c r="N16" s="112">
        <v>50</v>
      </c>
      <c r="P16" s="1">
        <v>11894.2</v>
      </c>
      <c r="Q16" s="1">
        <v>0</v>
      </c>
      <c r="R16" s="1">
        <v>333.5</v>
      </c>
      <c r="S16" s="1">
        <v>1173.8</v>
      </c>
      <c r="T16" s="1">
        <v>45</v>
      </c>
      <c r="U16" s="1"/>
      <c r="V16">
        <f t="shared" si="1"/>
        <v>1196.6776611694152</v>
      </c>
    </row>
    <row r="17" spans="1:25" ht="15.75" customHeight="1">
      <c r="A17" s="110" t="s">
        <v>29</v>
      </c>
      <c r="B17" s="110" t="s">
        <v>682</v>
      </c>
      <c r="C17" s="110" t="s">
        <v>591</v>
      </c>
      <c r="D17" s="112">
        <v>4</v>
      </c>
      <c r="E17" s="127">
        <f t="shared" si="0"/>
        <v>4.2</v>
      </c>
      <c r="F17" s="114" t="s">
        <v>692</v>
      </c>
      <c r="G17" s="112" t="s">
        <v>1121</v>
      </c>
      <c r="H17" s="110" t="s">
        <v>1003</v>
      </c>
      <c r="I17" s="112" t="s">
        <v>1233</v>
      </c>
      <c r="J17" s="111">
        <v>1</v>
      </c>
      <c r="K17" s="111">
        <v>10</v>
      </c>
      <c r="L17" s="112">
        <v>200</v>
      </c>
      <c r="M17" s="112">
        <v>10</v>
      </c>
      <c r="N17" s="112">
        <v>50</v>
      </c>
      <c r="P17" s="1">
        <v>11354.7</v>
      </c>
      <c r="Q17" s="1">
        <v>0</v>
      </c>
      <c r="R17" s="1">
        <v>330.9</v>
      </c>
      <c r="S17" s="1">
        <v>1124.4000000000001</v>
      </c>
      <c r="T17" s="1">
        <v>30.8</v>
      </c>
      <c r="U17" s="1"/>
      <c r="V17">
        <f t="shared" si="1"/>
        <v>1155.3218495013602</v>
      </c>
      <c r="X17">
        <f>AVERAGE(V17:V19)</f>
        <v>1204.3581003963993</v>
      </c>
      <c r="Y17" s="1" t="s">
        <v>1234</v>
      </c>
    </row>
    <row r="18" spans="1:25" ht="15.75" customHeight="1">
      <c r="A18" s="110" t="s">
        <v>30</v>
      </c>
      <c r="B18" s="110" t="s">
        <v>682</v>
      </c>
      <c r="C18" s="110" t="s">
        <v>591</v>
      </c>
      <c r="D18" s="112">
        <v>4</v>
      </c>
      <c r="E18" s="127">
        <f t="shared" si="0"/>
        <v>4.2</v>
      </c>
      <c r="F18" s="114" t="s">
        <v>692</v>
      </c>
      <c r="G18" s="112" t="s">
        <v>1121</v>
      </c>
      <c r="H18" s="110" t="s">
        <v>1003</v>
      </c>
      <c r="I18" s="112" t="s">
        <v>1233</v>
      </c>
      <c r="J18" s="111">
        <v>1</v>
      </c>
      <c r="K18" s="111">
        <v>10</v>
      </c>
      <c r="L18" s="112">
        <v>200</v>
      </c>
      <c r="M18" s="112">
        <v>10</v>
      </c>
      <c r="N18" s="112">
        <v>50</v>
      </c>
      <c r="P18" s="1">
        <v>11603.2</v>
      </c>
      <c r="Q18" s="1">
        <v>0</v>
      </c>
      <c r="R18" s="1">
        <v>301.39999999999998</v>
      </c>
      <c r="S18" s="1">
        <v>1123.5999999999999</v>
      </c>
      <c r="T18" s="1">
        <v>47.1</v>
      </c>
      <c r="U18" s="1"/>
      <c r="V18">
        <f t="shared" si="1"/>
        <v>1267.4983410749833</v>
      </c>
    </row>
    <row r="19" spans="1:25" ht="15.75" customHeight="1">
      <c r="A19" s="110" t="s">
        <v>31</v>
      </c>
      <c r="B19" s="110" t="s">
        <v>682</v>
      </c>
      <c r="C19" s="110" t="s">
        <v>591</v>
      </c>
      <c r="D19" s="112">
        <v>4</v>
      </c>
      <c r="E19" s="127">
        <f t="shared" si="0"/>
        <v>4.2</v>
      </c>
      <c r="F19" s="114" t="s">
        <v>692</v>
      </c>
      <c r="G19" s="112" t="s">
        <v>1121</v>
      </c>
      <c r="H19" s="110" t="s">
        <v>1003</v>
      </c>
      <c r="I19" s="112" t="s">
        <v>1233</v>
      </c>
      <c r="J19" s="111">
        <v>1</v>
      </c>
      <c r="K19" s="111">
        <v>10</v>
      </c>
      <c r="L19" s="112">
        <v>200</v>
      </c>
      <c r="M19" s="112">
        <v>10</v>
      </c>
      <c r="N19" s="112">
        <v>50</v>
      </c>
      <c r="P19" s="1">
        <v>11553.5</v>
      </c>
      <c r="Q19" s="1">
        <v>0</v>
      </c>
      <c r="R19" s="1">
        <v>334.5</v>
      </c>
      <c r="S19" s="1">
        <v>1171</v>
      </c>
      <c r="T19" s="1">
        <v>50.4</v>
      </c>
      <c r="U19" s="1"/>
      <c r="V19">
        <f t="shared" si="1"/>
        <v>1190.2541106128549</v>
      </c>
    </row>
    <row r="20" spans="1:25" ht="15.75" customHeight="1">
      <c r="A20" s="114"/>
      <c r="I20" s="112"/>
      <c r="R20" s="1"/>
      <c r="T20" s="1"/>
      <c r="U20" s="1"/>
      <c r="V20" s="1"/>
    </row>
    <row r="21" spans="1:25" ht="15.75" customHeight="1">
      <c r="A21" s="114"/>
      <c r="B21" s="114"/>
      <c r="C21" s="114" t="s">
        <v>300</v>
      </c>
      <c r="D21" s="127">
        <f>SUM(D5:D20)</f>
        <v>60</v>
      </c>
      <c r="K21" s="1" t="s">
        <v>300</v>
      </c>
      <c r="L21">
        <f>SUM(L5:L20)</f>
        <v>2760</v>
      </c>
      <c r="R21" s="1"/>
      <c r="T21" s="1"/>
      <c r="U21" s="1"/>
      <c r="V21" s="1"/>
    </row>
    <row r="22" spans="1:25" ht="15.75" customHeight="1">
      <c r="A22" s="114"/>
      <c r="R22" s="1"/>
      <c r="T22" s="1"/>
      <c r="U22" s="1"/>
      <c r="V22" s="1"/>
      <c r="X22" s="124" t="s">
        <v>1227</v>
      </c>
      <c r="Y22">
        <v>1309.155617293661</v>
      </c>
    </row>
    <row r="23" spans="1:25" ht="15.75" customHeight="1">
      <c r="A23" s="125" t="s">
        <v>1040</v>
      </c>
      <c r="B23" s="1"/>
      <c r="C23" s="1" t="s">
        <v>1041</v>
      </c>
      <c r="E23" s="1"/>
      <c r="L23" s="125" t="s">
        <v>968</v>
      </c>
      <c r="M23" s="114"/>
      <c r="N23" s="114"/>
      <c r="R23" s="1"/>
      <c r="T23" s="1"/>
      <c r="U23" s="1"/>
      <c r="V23" s="1"/>
      <c r="X23" s="124" t="s">
        <v>1228</v>
      </c>
      <c r="Y23">
        <v>920.99937836945571</v>
      </c>
    </row>
    <row r="24" spans="1:25" ht="15.75" customHeight="1">
      <c r="A24" s="1" t="s">
        <v>1235</v>
      </c>
      <c r="E24" s="1"/>
      <c r="L24" s="114" t="s">
        <v>970</v>
      </c>
      <c r="M24" s="114" t="s">
        <v>47</v>
      </c>
      <c r="N24" s="114" t="s">
        <v>300</v>
      </c>
      <c r="R24" s="1"/>
      <c r="T24" s="1"/>
      <c r="U24" s="1"/>
      <c r="V24" s="1"/>
      <c r="X24" s="124" t="s">
        <v>1230</v>
      </c>
      <c r="Y24">
        <v>903.67054604439681</v>
      </c>
    </row>
    <row r="25" spans="1:25" ht="15.75" customHeight="1">
      <c r="A25" s="1" t="s">
        <v>1236</v>
      </c>
      <c r="E25" s="1"/>
      <c r="K25" s="1" t="s">
        <v>1237</v>
      </c>
      <c r="L25" s="125" t="s">
        <v>301</v>
      </c>
      <c r="M25" s="126">
        <v>0.3</v>
      </c>
      <c r="R25" s="1"/>
      <c r="T25" s="1"/>
      <c r="U25" s="1"/>
      <c r="V25" s="1"/>
      <c r="X25" s="124" t="s">
        <v>1232</v>
      </c>
      <c r="Y25">
        <v>1117.9063014157853</v>
      </c>
    </row>
    <row r="26" spans="1:25" ht="15.75" customHeight="1">
      <c r="A26" s="1" t="s">
        <v>1238</v>
      </c>
      <c r="E26" s="1"/>
      <c r="L26" s="112">
        <v>1000</v>
      </c>
      <c r="M26" s="127">
        <f>L26/M25-L26</f>
        <v>2333.3333333333335</v>
      </c>
      <c r="N26" s="127">
        <f>SUM(L26:M26)</f>
        <v>3333.3333333333335</v>
      </c>
      <c r="R26" s="1"/>
      <c r="T26" s="1"/>
      <c r="U26" s="1"/>
      <c r="V26" s="1"/>
      <c r="X26" s="124" t="s">
        <v>1234</v>
      </c>
      <c r="Y26">
        <v>1204.3581003963993</v>
      </c>
    </row>
    <row r="27" spans="1:25" ht="15.75" customHeight="1">
      <c r="A27" s="1" t="s">
        <v>1239</v>
      </c>
      <c r="E27" s="1"/>
      <c r="K27" s="1"/>
      <c r="L27" s="168" t="s">
        <v>99</v>
      </c>
      <c r="M27" s="112">
        <v>0.5</v>
      </c>
      <c r="N27" s="127"/>
    </row>
    <row r="28" spans="1:25" ht="15.75" customHeight="1">
      <c r="A28" s="1"/>
      <c r="E28" s="1"/>
      <c r="L28" s="112">
        <v>200</v>
      </c>
      <c r="M28" s="127">
        <f>L28/M27-L28</f>
        <v>200</v>
      </c>
      <c r="N28" s="127">
        <f>SUM(L28:M28)</f>
        <v>400</v>
      </c>
      <c r="P28" s="1"/>
      <c r="Q28" s="1"/>
    </row>
    <row r="29" spans="1:25" ht="15.75" customHeight="1">
      <c r="A29" s="1"/>
      <c r="E29" s="1"/>
      <c r="K29" s="1"/>
      <c r="L29" s="5"/>
      <c r="M29" s="1"/>
      <c r="P29" s="1"/>
      <c r="Q29" s="1"/>
      <c r="R29" s="1"/>
    </row>
    <row r="30" spans="1:25" ht="15.75" customHeight="1">
      <c r="A30" s="1"/>
      <c r="L30" s="112"/>
      <c r="M30" s="127"/>
      <c r="N30" s="127"/>
      <c r="Q30" s="1"/>
      <c r="R30" s="1"/>
      <c r="S30" s="1"/>
      <c r="T30" s="177"/>
      <c r="V30" s="1"/>
      <c r="W30" s="1"/>
    </row>
    <row r="31" spans="1:25" ht="15.75" customHeight="1">
      <c r="A31" s="1"/>
      <c r="K31" s="1"/>
      <c r="L31" s="5"/>
      <c r="M31" s="1"/>
      <c r="Q31" s="1"/>
      <c r="R31" s="1"/>
      <c r="S31" s="1"/>
      <c r="T31" s="177"/>
      <c r="V31" s="1"/>
      <c r="W31" s="1"/>
    </row>
    <row r="32" spans="1:25" ht="15.75" customHeight="1">
      <c r="A32" s="1"/>
      <c r="L32" s="112"/>
      <c r="M32" s="127"/>
      <c r="N32" s="127"/>
      <c r="Q32" s="1"/>
      <c r="R32" s="1"/>
      <c r="S32" s="1"/>
      <c r="T32" s="177"/>
      <c r="W32" s="1"/>
    </row>
    <row r="33" spans="13:26" ht="15.75" customHeight="1">
      <c r="Q33" s="1"/>
      <c r="R33" s="1"/>
      <c r="S33" s="1"/>
      <c r="T33" s="177"/>
      <c r="W33" s="1"/>
    </row>
    <row r="34" spans="13:26" ht="15.75" customHeight="1">
      <c r="M34" s="127"/>
      <c r="Q34" s="1"/>
      <c r="R34" s="1"/>
      <c r="S34" s="1"/>
      <c r="T34" s="177"/>
      <c r="W34" s="1"/>
    </row>
    <row r="35" spans="13:26" ht="15.75" customHeight="1">
      <c r="S35" s="1"/>
      <c r="T35" s="177"/>
      <c r="V35" s="1"/>
      <c r="W35" s="1"/>
    </row>
    <row r="36" spans="13:26" ht="15.75" customHeight="1">
      <c r="S36" s="1"/>
      <c r="T36" s="177"/>
      <c r="V36" s="1"/>
      <c r="W36" s="1"/>
    </row>
    <row r="37" spans="13:26" ht="15.75" customHeight="1">
      <c r="S37" s="114"/>
      <c r="T37" s="177"/>
      <c r="V37" s="1"/>
      <c r="W37" s="1"/>
    </row>
    <row r="38" spans="13:26" ht="15.75" customHeight="1">
      <c r="S38" s="114"/>
      <c r="V38" s="1"/>
      <c r="W38" s="1"/>
    </row>
    <row r="39" spans="13:26" ht="12.75">
      <c r="S39" s="114"/>
      <c r="V39" s="1"/>
      <c r="W39" s="1"/>
    </row>
    <row r="40" spans="13:26" ht="12.75">
      <c r="S40" s="114"/>
      <c r="V40" s="1"/>
      <c r="W40" s="1"/>
    </row>
    <row r="41" spans="13:26" ht="12.75">
      <c r="S41" s="110"/>
      <c r="V41" s="1"/>
      <c r="W41" s="1"/>
    </row>
    <row r="42" spans="13:26" ht="12.75">
      <c r="S42" s="110"/>
      <c r="V42" s="1"/>
      <c r="W42" s="1"/>
    </row>
    <row r="43" spans="13:26" ht="12.75">
      <c r="S43" s="110"/>
      <c r="V43" s="1"/>
      <c r="W43" s="1"/>
    </row>
    <row r="44" spans="13:26" ht="12.75">
      <c r="S44" s="110"/>
      <c r="V44" s="1"/>
      <c r="W44" s="1"/>
    </row>
    <row r="45" spans="13:26" ht="12.75">
      <c r="S45" s="110"/>
      <c r="V45" s="1"/>
      <c r="W45" s="1"/>
    </row>
    <row r="46" spans="13:26" ht="12.75">
      <c r="S46" s="110"/>
      <c r="W46" s="1"/>
      <c r="Z46" s="1"/>
    </row>
    <row r="47" spans="13:26" ht="12.75">
      <c r="S47" s="110"/>
      <c r="V47" s="1"/>
      <c r="W47" s="1"/>
    </row>
    <row r="48" spans="13:26" ht="12.75">
      <c r="S48" s="110"/>
      <c r="W48" s="1"/>
    </row>
    <row r="49" spans="19:23" ht="12.75">
      <c r="S49" s="110"/>
      <c r="V49" s="1"/>
      <c r="W49" s="1"/>
    </row>
    <row r="50" spans="19:23" ht="12.75">
      <c r="S50" s="110"/>
      <c r="W50" s="1"/>
    </row>
    <row r="51" spans="19:23" ht="12.75">
      <c r="S51" s="110"/>
      <c r="W51" s="1"/>
    </row>
    <row r="52" spans="19:23" ht="12.75">
      <c r="S52" s="110"/>
      <c r="W52" s="1"/>
    </row>
    <row r="53" spans="19:23" ht="12.75">
      <c r="S53" s="110"/>
    </row>
    <row r="54" spans="19:23" ht="12.75">
      <c r="S54" s="110"/>
    </row>
    <row r="55" spans="19:23" ht="12.75">
      <c r="S55" s="1"/>
      <c r="T55" s="1"/>
      <c r="W55" s="1"/>
    </row>
    <row r="56" spans="19:23" ht="12.75">
      <c r="S56" s="1"/>
      <c r="T56" s="1"/>
      <c r="W56" s="1"/>
    </row>
    <row r="57" spans="19:23" ht="12.75">
      <c r="S57" s="1"/>
      <c r="T57" s="1"/>
      <c r="V57" s="1"/>
    </row>
    <row r="58" spans="19:23" ht="12.75">
      <c r="S58" s="1"/>
      <c r="T58" s="1"/>
      <c r="W58" s="1"/>
    </row>
    <row r="59" spans="19:23" ht="12.75">
      <c r="S59" s="1"/>
      <c r="T59" s="1"/>
    </row>
    <row r="60" spans="19:23" ht="12.75">
      <c r="S60" s="1"/>
      <c r="T60" s="1"/>
      <c r="W60" s="1"/>
    </row>
    <row r="61" spans="19:23" ht="12.75">
      <c r="S61" s="1"/>
      <c r="T61" s="1"/>
      <c r="W61" s="1"/>
    </row>
    <row r="62" spans="19:23" ht="12.75">
      <c r="S62" s="1"/>
      <c r="T62" s="1"/>
      <c r="W62" s="1"/>
    </row>
    <row r="63" spans="19:23" ht="12.75">
      <c r="S63" s="114"/>
      <c r="T63" s="1"/>
    </row>
    <row r="64" spans="19:23" ht="12.75">
      <c r="S64" s="114"/>
      <c r="V64" s="1"/>
    </row>
    <row r="65" spans="19:26" ht="12.75">
      <c r="S65" s="114"/>
      <c r="V65" s="1"/>
      <c r="W65" s="1"/>
    </row>
    <row r="66" spans="19:26" ht="12.75">
      <c r="S66" s="114"/>
      <c r="W66" s="1"/>
    </row>
    <row r="67" spans="19:26" ht="12.75">
      <c r="S67" s="110"/>
      <c r="V67" s="1"/>
      <c r="W67" s="1"/>
    </row>
    <row r="68" spans="19:26" ht="12.75">
      <c r="S68" s="110"/>
      <c r="W68" s="1"/>
    </row>
    <row r="69" spans="19:26" ht="12.75">
      <c r="S69" s="110"/>
      <c r="V69" s="1"/>
      <c r="W69" s="1"/>
    </row>
    <row r="70" spans="19:26" ht="12.75">
      <c r="S70" s="110"/>
    </row>
    <row r="71" spans="19:26" ht="12.75">
      <c r="S71" s="110"/>
      <c r="W71" s="1"/>
    </row>
    <row r="72" spans="19:26" ht="12.75">
      <c r="S72" s="110"/>
      <c r="V72" s="1"/>
      <c r="W72" s="1"/>
    </row>
    <row r="73" spans="19:26" ht="12.75">
      <c r="S73" s="110"/>
      <c r="W73" s="1"/>
    </row>
    <row r="74" spans="19:26" ht="12.75">
      <c r="S74" s="110"/>
    </row>
    <row r="75" spans="19:26" ht="12.75">
      <c r="S75" s="110"/>
      <c r="X75" s="1"/>
      <c r="Z75" s="1"/>
    </row>
    <row r="76" spans="19:26" ht="12.75">
      <c r="S76" s="110"/>
    </row>
    <row r="77" spans="19:26" ht="12.75">
      <c r="S77" s="110"/>
      <c r="W77" s="1"/>
    </row>
    <row r="78" spans="19:26" ht="12.75">
      <c r="S78" s="110"/>
    </row>
    <row r="79" spans="19:26" ht="12.75">
      <c r="S79" s="110"/>
      <c r="W79" s="1"/>
    </row>
    <row r="80" spans="19:26" ht="12.75">
      <c r="S80" s="110"/>
      <c r="W80" s="1"/>
    </row>
    <row r="81" spans="19:23" ht="12.75">
      <c r="S81" s="1"/>
      <c r="T81" s="1"/>
    </row>
    <row r="82" spans="19:23" ht="12.75">
      <c r="S82" s="1"/>
      <c r="T82" s="1"/>
    </row>
    <row r="83" spans="19:23" ht="12.75">
      <c r="S83" s="1"/>
      <c r="T83" s="1"/>
      <c r="W83" s="1"/>
    </row>
    <row r="84" spans="19:23" ht="12.75">
      <c r="S84" s="1"/>
      <c r="T84" s="1"/>
      <c r="W84" s="1"/>
    </row>
    <row r="85" spans="19:23" ht="12.75">
      <c r="S85" s="1"/>
      <c r="T85" s="1"/>
      <c r="W85" s="1"/>
    </row>
    <row r="86" spans="19:23" ht="12.75">
      <c r="S86" s="1"/>
      <c r="T86" s="1"/>
      <c r="W86" s="1"/>
    </row>
    <row r="87" spans="19:23" ht="12.75">
      <c r="S87" s="1"/>
      <c r="T87" s="1"/>
      <c r="V87" s="1"/>
      <c r="W87" s="1"/>
    </row>
    <row r="88" spans="19:23" ht="12.75">
      <c r="S88" s="1"/>
      <c r="T88" s="1"/>
      <c r="W88" s="1"/>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3"/>
  <sheetViews>
    <sheetView workbookViewId="0"/>
  </sheetViews>
  <sheetFormatPr defaultColWidth="14.42578125" defaultRowHeight="15.75" customHeight="1"/>
  <cols>
    <col min="6" max="6" width="16.42578125" customWidth="1"/>
  </cols>
  <sheetData>
    <row r="1" spans="1:22" ht="12.75">
      <c r="A1" s="114" t="s">
        <v>1</v>
      </c>
      <c r="B1" s="114" t="s">
        <v>659</v>
      </c>
      <c r="C1" s="114" t="s">
        <v>660</v>
      </c>
      <c r="D1" s="114" t="s">
        <v>661</v>
      </c>
      <c r="E1" s="114" t="s">
        <v>1032</v>
      </c>
      <c r="F1" s="110" t="s">
        <v>1186</v>
      </c>
      <c r="G1" s="114" t="s">
        <v>97</v>
      </c>
      <c r="H1" s="114" t="s">
        <v>664</v>
      </c>
      <c r="I1" s="114" t="s">
        <v>665</v>
      </c>
      <c r="J1" s="114" t="s">
        <v>666</v>
      </c>
      <c r="K1" s="114" t="s">
        <v>667</v>
      </c>
      <c r="N1" s="1" t="s">
        <v>6</v>
      </c>
      <c r="O1" s="1" t="s">
        <v>7</v>
      </c>
      <c r="P1" s="1" t="s">
        <v>8</v>
      </c>
      <c r="Q1" s="1" t="s">
        <v>9</v>
      </c>
      <c r="R1" s="1" t="s">
        <v>10</v>
      </c>
      <c r="T1" s="166"/>
      <c r="U1" s="166"/>
      <c r="V1" s="166"/>
    </row>
    <row r="2" spans="1:22" ht="12.75">
      <c r="A2" s="114" t="s">
        <v>962</v>
      </c>
      <c r="B2" s="114"/>
      <c r="C2" s="114"/>
      <c r="D2" s="114"/>
      <c r="E2" s="114"/>
      <c r="F2" s="114"/>
      <c r="G2" s="114"/>
      <c r="H2" s="114"/>
      <c r="I2" s="114"/>
      <c r="K2" s="114"/>
      <c r="T2" s="166"/>
      <c r="U2" s="166"/>
      <c r="V2" s="176"/>
    </row>
    <row r="3" spans="1:22" ht="12.75">
      <c r="A3" s="114" t="s">
        <v>17</v>
      </c>
      <c r="B3" s="167" t="s">
        <v>1035</v>
      </c>
      <c r="C3" s="111">
        <v>4</v>
      </c>
      <c r="D3" s="127">
        <f t="shared" ref="D3:D30" si="0">C3+I3/1000</f>
        <v>4.2</v>
      </c>
      <c r="E3" s="114" t="s">
        <v>692</v>
      </c>
      <c r="F3" s="112" t="s">
        <v>1240</v>
      </c>
      <c r="G3" s="111">
        <v>1</v>
      </c>
      <c r="H3" s="111">
        <v>10</v>
      </c>
      <c r="I3" s="112">
        <v>200</v>
      </c>
      <c r="J3" s="112">
        <v>10</v>
      </c>
      <c r="K3" s="112">
        <v>50</v>
      </c>
      <c r="L3" s="114"/>
      <c r="M3" s="114" t="s">
        <v>17</v>
      </c>
      <c r="N3" s="1">
        <v>12337</v>
      </c>
      <c r="O3" s="1"/>
      <c r="P3" s="1">
        <v>349.9</v>
      </c>
      <c r="Q3" s="1">
        <v>1336</v>
      </c>
      <c r="R3" s="1">
        <v>22.4</v>
      </c>
    </row>
    <row r="4" spans="1:22" ht="12.75">
      <c r="A4" s="114" t="s">
        <v>18</v>
      </c>
      <c r="B4" s="167" t="s">
        <v>1035</v>
      </c>
      <c r="C4" s="111">
        <v>4</v>
      </c>
      <c r="D4" s="127">
        <f t="shared" si="0"/>
        <v>4.2</v>
      </c>
      <c r="E4" s="114" t="s">
        <v>692</v>
      </c>
      <c r="F4" s="112" t="s">
        <v>1240</v>
      </c>
      <c r="G4" s="111">
        <v>1</v>
      </c>
      <c r="H4" s="111">
        <v>10</v>
      </c>
      <c r="I4" s="112">
        <v>200</v>
      </c>
      <c r="J4" s="112">
        <v>10</v>
      </c>
      <c r="K4" s="112">
        <v>50</v>
      </c>
      <c r="L4" s="114"/>
      <c r="M4" s="114" t="s">
        <v>18</v>
      </c>
      <c r="N4" s="1">
        <v>12348</v>
      </c>
      <c r="O4" s="1"/>
      <c r="P4" s="1">
        <v>346</v>
      </c>
      <c r="Q4" s="1">
        <v>1329</v>
      </c>
      <c r="R4" s="1">
        <v>24.1</v>
      </c>
    </row>
    <row r="5" spans="1:22" ht="12.75">
      <c r="A5" s="114" t="s">
        <v>19</v>
      </c>
      <c r="B5" s="167" t="s">
        <v>591</v>
      </c>
      <c r="C5" s="111">
        <v>4</v>
      </c>
      <c r="D5" s="127">
        <f t="shared" si="0"/>
        <v>4.2</v>
      </c>
      <c r="E5" s="114" t="s">
        <v>692</v>
      </c>
      <c r="F5" s="112" t="s">
        <v>1240</v>
      </c>
      <c r="G5" s="111">
        <v>1</v>
      </c>
      <c r="H5" s="111">
        <v>10</v>
      </c>
      <c r="I5" s="112">
        <v>200</v>
      </c>
      <c r="J5" s="112">
        <v>10</v>
      </c>
      <c r="K5" s="112">
        <v>50</v>
      </c>
      <c r="L5" s="114"/>
      <c r="M5" s="114" t="s">
        <v>19</v>
      </c>
      <c r="N5" s="1">
        <v>12337</v>
      </c>
      <c r="P5" s="1">
        <v>351</v>
      </c>
      <c r="Q5" s="1">
        <v>1164</v>
      </c>
      <c r="R5" s="1">
        <v>61.4</v>
      </c>
    </row>
    <row r="6" spans="1:22" ht="12.75">
      <c r="A6" s="114" t="s">
        <v>20</v>
      </c>
      <c r="B6" s="167" t="s">
        <v>591</v>
      </c>
      <c r="C6" s="112">
        <v>4</v>
      </c>
      <c r="D6" s="127">
        <f t="shared" si="0"/>
        <v>4.2</v>
      </c>
      <c r="E6" s="114" t="s">
        <v>692</v>
      </c>
      <c r="F6" s="112" t="s">
        <v>1240</v>
      </c>
      <c r="G6" s="112">
        <v>1</v>
      </c>
      <c r="H6" s="111">
        <v>10</v>
      </c>
      <c r="I6" s="112">
        <v>200</v>
      </c>
      <c r="J6" s="112">
        <v>10</v>
      </c>
      <c r="K6" s="112">
        <v>50</v>
      </c>
      <c r="L6" s="114"/>
      <c r="M6" s="114" t="s">
        <v>20</v>
      </c>
      <c r="N6" s="1">
        <v>12514</v>
      </c>
      <c r="P6" s="1">
        <v>358</v>
      </c>
      <c r="Q6" s="1">
        <v>1159</v>
      </c>
      <c r="R6" s="1">
        <v>66.400000000000006</v>
      </c>
    </row>
    <row r="7" spans="1:22" ht="12.75">
      <c r="A7" s="114" t="s">
        <v>21</v>
      </c>
      <c r="B7" s="167" t="s">
        <v>1035</v>
      </c>
      <c r="C7" s="112">
        <v>4</v>
      </c>
      <c r="D7" s="127">
        <f t="shared" si="0"/>
        <v>4.2</v>
      </c>
      <c r="E7" s="114" t="s">
        <v>692</v>
      </c>
      <c r="F7" s="112" t="s">
        <v>1241</v>
      </c>
      <c r="G7" s="112">
        <v>1</v>
      </c>
      <c r="H7" s="111">
        <v>10</v>
      </c>
      <c r="I7" s="112">
        <v>200</v>
      </c>
      <c r="J7" s="112">
        <v>10</v>
      </c>
      <c r="K7" s="112">
        <v>50</v>
      </c>
      <c r="L7" s="114"/>
      <c r="M7" s="114" t="s">
        <v>21</v>
      </c>
      <c r="N7" s="1">
        <v>11916</v>
      </c>
      <c r="O7" s="1"/>
      <c r="P7" s="1">
        <v>355</v>
      </c>
      <c r="Q7" s="1">
        <v>1232</v>
      </c>
      <c r="R7" s="1">
        <v>43.4</v>
      </c>
    </row>
    <row r="8" spans="1:22" ht="12.75">
      <c r="A8" s="114" t="s">
        <v>22</v>
      </c>
      <c r="B8" s="167" t="s">
        <v>1035</v>
      </c>
      <c r="C8" s="112">
        <v>4</v>
      </c>
      <c r="D8" s="127">
        <f t="shared" si="0"/>
        <v>4.2</v>
      </c>
      <c r="E8" s="114" t="s">
        <v>692</v>
      </c>
      <c r="F8" s="112" t="s">
        <v>1241</v>
      </c>
      <c r="G8" s="112">
        <v>1</v>
      </c>
      <c r="H8" s="111">
        <v>10</v>
      </c>
      <c r="I8" s="112">
        <v>200</v>
      </c>
      <c r="J8" s="112">
        <v>10</v>
      </c>
      <c r="K8" s="112">
        <v>50</v>
      </c>
      <c r="L8" s="114"/>
      <c r="M8" s="114" t="s">
        <v>22</v>
      </c>
      <c r="N8" s="1">
        <v>12079</v>
      </c>
      <c r="O8" s="1"/>
      <c r="P8" s="1">
        <v>360</v>
      </c>
      <c r="Q8" s="1">
        <v>1237</v>
      </c>
      <c r="R8" s="1">
        <v>47.8</v>
      </c>
    </row>
    <row r="9" spans="1:22" ht="12.75">
      <c r="A9" s="110" t="s">
        <v>23</v>
      </c>
      <c r="B9" s="167" t="s">
        <v>591</v>
      </c>
      <c r="C9" s="112">
        <v>4</v>
      </c>
      <c r="D9" s="127">
        <f t="shared" si="0"/>
        <v>4.2</v>
      </c>
      <c r="E9" s="114" t="s">
        <v>692</v>
      </c>
      <c r="F9" s="112" t="s">
        <v>1241</v>
      </c>
      <c r="G9" s="112">
        <v>1</v>
      </c>
      <c r="H9" s="111">
        <v>10</v>
      </c>
      <c r="I9" s="112">
        <v>200</v>
      </c>
      <c r="J9" s="112">
        <v>10</v>
      </c>
      <c r="K9" s="112">
        <v>50</v>
      </c>
      <c r="L9" s="110"/>
      <c r="M9" s="110" t="s">
        <v>23</v>
      </c>
      <c r="N9" s="1">
        <v>12796</v>
      </c>
      <c r="P9" s="1">
        <v>383</v>
      </c>
      <c r="Q9" s="1">
        <v>973</v>
      </c>
      <c r="R9" s="1">
        <v>120.2</v>
      </c>
    </row>
    <row r="10" spans="1:22" ht="12.75">
      <c r="A10" s="110" t="s">
        <v>24</v>
      </c>
      <c r="B10" s="167" t="s">
        <v>591</v>
      </c>
      <c r="C10" s="112">
        <v>4</v>
      </c>
      <c r="D10" s="127">
        <f t="shared" si="0"/>
        <v>4.2</v>
      </c>
      <c r="E10" s="114" t="s">
        <v>692</v>
      </c>
      <c r="F10" s="112" t="s">
        <v>1241</v>
      </c>
      <c r="G10" s="112">
        <v>1</v>
      </c>
      <c r="H10" s="111">
        <v>10</v>
      </c>
      <c r="I10" s="112">
        <v>200</v>
      </c>
      <c r="J10" s="112">
        <v>10</v>
      </c>
      <c r="K10" s="112">
        <v>50</v>
      </c>
      <c r="L10" s="110"/>
      <c r="M10" s="110" t="s">
        <v>24</v>
      </c>
      <c r="N10" s="1">
        <v>12368</v>
      </c>
      <c r="P10" s="1">
        <v>415</v>
      </c>
      <c r="Q10" s="1">
        <v>928</v>
      </c>
      <c r="R10" s="1">
        <v>119</v>
      </c>
    </row>
    <row r="11" spans="1:22" ht="12.75">
      <c r="A11" s="110" t="s">
        <v>25</v>
      </c>
      <c r="B11" s="167" t="s">
        <v>1035</v>
      </c>
      <c r="C11" s="112">
        <v>4</v>
      </c>
      <c r="D11" s="127">
        <f t="shared" si="0"/>
        <v>4.2</v>
      </c>
      <c r="E11" s="114" t="s">
        <v>692</v>
      </c>
      <c r="F11" s="112" t="s">
        <v>1242</v>
      </c>
      <c r="G11" s="112">
        <v>1</v>
      </c>
      <c r="H11" s="111">
        <v>10</v>
      </c>
      <c r="I11" s="112">
        <v>200</v>
      </c>
      <c r="J11" s="112">
        <v>10</v>
      </c>
      <c r="K11" s="112">
        <v>50</v>
      </c>
      <c r="L11" s="110"/>
      <c r="M11" s="110" t="s">
        <v>25</v>
      </c>
      <c r="N11" s="1">
        <v>12011</v>
      </c>
      <c r="P11" s="1">
        <v>384</v>
      </c>
      <c r="Q11" s="1">
        <v>1195</v>
      </c>
      <c r="R11" s="1">
        <v>60.3</v>
      </c>
    </row>
    <row r="12" spans="1:22" ht="12.75">
      <c r="A12" s="110" t="s">
        <v>26</v>
      </c>
      <c r="B12" s="167" t="s">
        <v>1035</v>
      </c>
      <c r="C12" s="112">
        <v>4</v>
      </c>
      <c r="D12" s="127">
        <f t="shared" si="0"/>
        <v>4.2</v>
      </c>
      <c r="E12" s="114" t="s">
        <v>692</v>
      </c>
      <c r="F12" s="112" t="s">
        <v>1242</v>
      </c>
      <c r="G12" s="112">
        <v>1</v>
      </c>
      <c r="H12" s="111">
        <v>10</v>
      </c>
      <c r="I12" s="112">
        <v>200</v>
      </c>
      <c r="J12" s="112">
        <v>10</v>
      </c>
      <c r="K12" s="112">
        <v>50</v>
      </c>
      <c r="L12" s="110"/>
      <c r="M12" s="110" t="s">
        <v>26</v>
      </c>
      <c r="N12" s="1">
        <v>11969</v>
      </c>
      <c r="O12" s="1"/>
      <c r="P12" s="1">
        <v>379</v>
      </c>
      <c r="Q12" s="1">
        <v>1173</v>
      </c>
      <c r="R12" s="1">
        <v>65</v>
      </c>
    </row>
    <row r="13" spans="1:22" ht="12.75">
      <c r="A13" s="110" t="s">
        <v>27</v>
      </c>
      <c r="B13" s="167" t="s">
        <v>591</v>
      </c>
      <c r="C13" s="112">
        <v>4</v>
      </c>
      <c r="D13" s="127">
        <f t="shared" si="0"/>
        <v>4.2</v>
      </c>
      <c r="E13" s="114" t="s">
        <v>692</v>
      </c>
      <c r="F13" s="112" t="s">
        <v>1242</v>
      </c>
      <c r="G13" s="112">
        <v>1</v>
      </c>
      <c r="H13" s="111">
        <v>10</v>
      </c>
      <c r="I13" s="112">
        <v>200</v>
      </c>
      <c r="J13" s="112">
        <v>10</v>
      </c>
      <c r="K13" s="112">
        <v>50</v>
      </c>
      <c r="L13" s="110"/>
      <c r="M13" s="110" t="s">
        <v>27</v>
      </c>
      <c r="N13" s="1">
        <v>13029</v>
      </c>
      <c r="O13" s="1"/>
      <c r="P13" s="1">
        <v>423</v>
      </c>
      <c r="Q13" s="1">
        <v>675</v>
      </c>
      <c r="R13" s="1">
        <v>206</v>
      </c>
    </row>
    <row r="14" spans="1:22" ht="12.75">
      <c r="A14" s="110" t="s">
        <v>28</v>
      </c>
      <c r="B14" s="167" t="s">
        <v>591</v>
      </c>
      <c r="C14" s="112">
        <v>4</v>
      </c>
      <c r="D14" s="127">
        <f t="shared" si="0"/>
        <v>4.2</v>
      </c>
      <c r="E14" s="114" t="s">
        <v>692</v>
      </c>
      <c r="F14" s="112" t="s">
        <v>1242</v>
      </c>
      <c r="G14" s="112">
        <v>1</v>
      </c>
      <c r="H14" s="111">
        <v>10</v>
      </c>
      <c r="I14" s="112">
        <v>200</v>
      </c>
      <c r="J14" s="112">
        <v>10</v>
      </c>
      <c r="K14" s="112">
        <v>50</v>
      </c>
      <c r="L14" s="110"/>
      <c r="M14" s="110" t="s">
        <v>28</v>
      </c>
      <c r="N14" s="1">
        <v>13056</v>
      </c>
      <c r="O14" s="1"/>
      <c r="P14" s="1">
        <v>430</v>
      </c>
      <c r="Q14" s="1">
        <v>701</v>
      </c>
      <c r="R14" s="1">
        <v>203</v>
      </c>
    </row>
    <row r="15" spans="1:22" ht="12.75">
      <c r="A15" s="110" t="s">
        <v>29</v>
      </c>
      <c r="B15" s="167" t="s">
        <v>1035</v>
      </c>
      <c r="C15" s="112">
        <v>4</v>
      </c>
      <c r="D15" s="127">
        <f t="shared" si="0"/>
        <v>4.2</v>
      </c>
      <c r="E15" s="114" t="s">
        <v>692</v>
      </c>
      <c r="F15" s="112" t="s">
        <v>1243</v>
      </c>
      <c r="G15" s="112">
        <v>1</v>
      </c>
      <c r="H15" s="111">
        <v>10</v>
      </c>
      <c r="I15" s="112">
        <v>200</v>
      </c>
      <c r="J15" s="112">
        <v>10</v>
      </c>
      <c r="K15" s="112">
        <v>50</v>
      </c>
      <c r="L15" s="110"/>
      <c r="M15" s="110" t="s">
        <v>29</v>
      </c>
      <c r="N15" s="1">
        <v>11538</v>
      </c>
      <c r="P15" s="1">
        <v>392</v>
      </c>
      <c r="Q15" s="1">
        <v>1109</v>
      </c>
      <c r="R15" s="1">
        <v>68</v>
      </c>
    </row>
    <row r="16" spans="1:22" ht="12.75">
      <c r="A16" s="110" t="s">
        <v>30</v>
      </c>
      <c r="B16" s="167" t="s">
        <v>1035</v>
      </c>
      <c r="C16" s="112">
        <v>4</v>
      </c>
      <c r="D16" s="127">
        <f t="shared" si="0"/>
        <v>4.2</v>
      </c>
      <c r="E16" s="114" t="s">
        <v>692</v>
      </c>
      <c r="F16" s="112" t="s">
        <v>1243</v>
      </c>
      <c r="G16" s="112">
        <v>1</v>
      </c>
      <c r="H16" s="111">
        <v>10</v>
      </c>
      <c r="I16" s="112">
        <v>200</v>
      </c>
      <c r="J16" s="112">
        <v>10</v>
      </c>
      <c r="K16" s="112">
        <v>50</v>
      </c>
      <c r="L16" s="110"/>
      <c r="M16" s="110" t="s">
        <v>30</v>
      </c>
      <c r="N16" s="1">
        <v>11881</v>
      </c>
      <c r="P16" s="1">
        <v>400</v>
      </c>
      <c r="Q16" s="1">
        <v>1123</v>
      </c>
      <c r="R16" s="1">
        <v>74</v>
      </c>
    </row>
    <row r="17" spans="1:19" ht="12.75">
      <c r="A17" s="110" t="s">
        <v>31</v>
      </c>
      <c r="B17" s="167" t="s">
        <v>591</v>
      </c>
      <c r="C17" s="112">
        <v>4</v>
      </c>
      <c r="D17" s="127">
        <f t="shared" si="0"/>
        <v>4.2</v>
      </c>
      <c r="E17" s="114" t="s">
        <v>692</v>
      </c>
      <c r="F17" s="112" t="s">
        <v>1243</v>
      </c>
      <c r="G17" s="112">
        <v>1</v>
      </c>
      <c r="H17" s="111">
        <v>10</v>
      </c>
      <c r="I17" s="112">
        <v>200</v>
      </c>
      <c r="J17" s="112">
        <v>10</v>
      </c>
      <c r="K17" s="112">
        <v>50</v>
      </c>
      <c r="L17" s="110"/>
      <c r="M17" s="110" t="s">
        <v>31</v>
      </c>
      <c r="N17" s="1">
        <v>12480</v>
      </c>
      <c r="P17" s="1">
        <v>463</v>
      </c>
      <c r="Q17" s="1">
        <v>547</v>
      </c>
      <c r="R17" s="1">
        <v>231</v>
      </c>
    </row>
    <row r="18" spans="1:19" ht="12.75">
      <c r="A18" s="110" t="s">
        <v>32</v>
      </c>
      <c r="B18" s="167" t="s">
        <v>591</v>
      </c>
      <c r="C18" s="112">
        <v>4</v>
      </c>
      <c r="D18" s="127">
        <f t="shared" si="0"/>
        <v>4.2</v>
      </c>
      <c r="E18" s="114" t="s">
        <v>692</v>
      </c>
      <c r="F18" s="112" t="s">
        <v>1243</v>
      </c>
      <c r="G18" s="112">
        <v>1</v>
      </c>
      <c r="H18" s="111">
        <v>10</v>
      </c>
      <c r="I18" s="112">
        <v>200</v>
      </c>
      <c r="J18" s="112">
        <v>10</v>
      </c>
      <c r="K18" s="112">
        <v>50</v>
      </c>
      <c r="L18" s="110"/>
      <c r="M18" s="110" t="s">
        <v>32</v>
      </c>
      <c r="N18" s="1">
        <v>13306</v>
      </c>
      <c r="P18" s="1">
        <v>466</v>
      </c>
      <c r="Q18" s="1">
        <v>553</v>
      </c>
      <c r="R18" s="1">
        <v>244</v>
      </c>
    </row>
    <row r="19" spans="1:19" ht="12.75">
      <c r="A19" s="110" t="s">
        <v>34</v>
      </c>
      <c r="B19" s="167" t="s">
        <v>1035</v>
      </c>
      <c r="C19" s="112">
        <v>4</v>
      </c>
      <c r="D19" s="127">
        <f t="shared" si="0"/>
        <v>4.2</v>
      </c>
      <c r="E19" s="114" t="s">
        <v>692</v>
      </c>
      <c r="F19" s="112" t="s">
        <v>1244</v>
      </c>
      <c r="G19" s="112">
        <v>1</v>
      </c>
      <c r="H19" s="111">
        <v>10</v>
      </c>
      <c r="I19" s="112">
        <v>200</v>
      </c>
      <c r="J19" s="112">
        <v>10</v>
      </c>
      <c r="K19" s="112">
        <v>50</v>
      </c>
      <c r="L19" s="110"/>
      <c r="M19" s="110" t="s">
        <v>34</v>
      </c>
      <c r="N19" s="1">
        <v>11950</v>
      </c>
      <c r="P19" s="1">
        <v>425</v>
      </c>
      <c r="Q19" s="1">
        <v>1109</v>
      </c>
      <c r="R19" s="1">
        <v>83</v>
      </c>
    </row>
    <row r="20" spans="1:19" ht="12.75">
      <c r="A20" s="110" t="s">
        <v>36</v>
      </c>
      <c r="B20" s="167" t="s">
        <v>1035</v>
      </c>
      <c r="C20" s="112">
        <v>4</v>
      </c>
      <c r="D20" s="127">
        <f t="shared" si="0"/>
        <v>4.2</v>
      </c>
      <c r="E20" s="114" t="s">
        <v>692</v>
      </c>
      <c r="F20" s="112" t="s">
        <v>1244</v>
      </c>
      <c r="G20" s="112">
        <v>1</v>
      </c>
      <c r="H20" s="111">
        <v>10</v>
      </c>
      <c r="I20" s="112">
        <v>200</v>
      </c>
      <c r="J20" s="112">
        <v>10</v>
      </c>
      <c r="K20" s="112">
        <v>50</v>
      </c>
      <c r="L20" s="110"/>
      <c r="M20" s="110" t="s">
        <v>36</v>
      </c>
      <c r="N20" s="1">
        <v>11814</v>
      </c>
      <c r="P20" s="1">
        <v>421</v>
      </c>
      <c r="Q20" s="1">
        <v>1087</v>
      </c>
      <c r="R20" s="1">
        <v>84</v>
      </c>
    </row>
    <row r="21" spans="1:19" ht="12.75">
      <c r="A21" s="110" t="s">
        <v>1146</v>
      </c>
      <c r="B21" s="167" t="s">
        <v>591</v>
      </c>
      <c r="C21" s="112">
        <v>4</v>
      </c>
      <c r="D21" s="127">
        <f t="shared" si="0"/>
        <v>4.2</v>
      </c>
      <c r="E21" s="114" t="s">
        <v>692</v>
      </c>
      <c r="F21" s="112" t="s">
        <v>1244</v>
      </c>
      <c r="G21" s="112">
        <v>1</v>
      </c>
      <c r="H21" s="111">
        <v>10</v>
      </c>
      <c r="I21" s="112">
        <v>200</v>
      </c>
      <c r="J21" s="112">
        <v>10</v>
      </c>
      <c r="K21" s="112">
        <v>50</v>
      </c>
      <c r="L21" s="110"/>
      <c r="M21" s="110" t="s">
        <v>1146</v>
      </c>
      <c r="N21" s="1">
        <v>13411.6</v>
      </c>
      <c r="P21" s="1">
        <v>486</v>
      </c>
      <c r="Q21" s="1">
        <v>498</v>
      </c>
      <c r="R21" s="1">
        <v>259</v>
      </c>
    </row>
    <row r="22" spans="1:19" ht="12.75">
      <c r="A22" s="110" t="s">
        <v>782</v>
      </c>
      <c r="B22" s="167" t="s">
        <v>591</v>
      </c>
      <c r="C22" s="112">
        <v>4</v>
      </c>
      <c r="D22" s="127">
        <f t="shared" si="0"/>
        <v>4.2</v>
      </c>
      <c r="E22" s="114" t="s">
        <v>692</v>
      </c>
      <c r="F22" s="112" t="s">
        <v>1244</v>
      </c>
      <c r="G22" s="112">
        <v>1</v>
      </c>
      <c r="H22" s="111">
        <v>10</v>
      </c>
      <c r="I22" s="112">
        <v>200</v>
      </c>
      <c r="J22" s="112">
        <v>10</v>
      </c>
      <c r="K22" s="112">
        <v>50</v>
      </c>
      <c r="L22" s="110"/>
      <c r="M22" s="110" t="s">
        <v>782</v>
      </c>
      <c r="N22" s="1">
        <v>12523.8</v>
      </c>
      <c r="O22" s="1"/>
      <c r="P22" s="1">
        <v>587</v>
      </c>
      <c r="Q22" s="1">
        <v>417.8</v>
      </c>
      <c r="R22" s="1">
        <v>261</v>
      </c>
    </row>
    <row r="23" spans="1:19" ht="12.75">
      <c r="A23" s="110" t="s">
        <v>42</v>
      </c>
      <c r="B23" s="167" t="s">
        <v>1035</v>
      </c>
      <c r="C23" s="112">
        <v>4</v>
      </c>
      <c r="D23" s="127">
        <f t="shared" si="0"/>
        <v>4.2</v>
      </c>
      <c r="E23" s="114" t="s">
        <v>692</v>
      </c>
      <c r="F23" s="112" t="s">
        <v>1245</v>
      </c>
      <c r="G23" s="112">
        <v>1</v>
      </c>
      <c r="H23" s="111">
        <v>10</v>
      </c>
      <c r="I23" s="112">
        <v>200</v>
      </c>
      <c r="J23" s="112">
        <v>10</v>
      </c>
      <c r="K23" s="112">
        <v>50</v>
      </c>
      <c r="L23" s="110"/>
      <c r="M23" s="110" t="s">
        <v>42</v>
      </c>
      <c r="N23" s="1">
        <v>11891</v>
      </c>
      <c r="P23" s="1">
        <v>442</v>
      </c>
      <c r="Q23" s="1">
        <v>1066</v>
      </c>
      <c r="R23" s="1">
        <v>94</v>
      </c>
    </row>
    <row r="24" spans="1:19" ht="12.75">
      <c r="A24" s="110" t="s">
        <v>400</v>
      </c>
      <c r="B24" s="167" t="s">
        <v>1035</v>
      </c>
      <c r="C24" s="112">
        <v>4</v>
      </c>
      <c r="D24" s="127">
        <f t="shared" si="0"/>
        <v>4.2</v>
      </c>
      <c r="E24" s="114" t="s">
        <v>692</v>
      </c>
      <c r="F24" s="112" t="s">
        <v>1245</v>
      </c>
      <c r="G24" s="112">
        <v>1</v>
      </c>
      <c r="H24" s="111">
        <v>10</v>
      </c>
      <c r="I24" s="112">
        <v>200</v>
      </c>
      <c r="J24" s="112">
        <v>10</v>
      </c>
      <c r="K24" s="112">
        <v>50</v>
      </c>
      <c r="L24" s="110"/>
      <c r="M24" s="110" t="s">
        <v>400</v>
      </c>
      <c r="N24" s="1">
        <v>11888</v>
      </c>
      <c r="P24" s="1">
        <v>439</v>
      </c>
      <c r="Q24" s="1">
        <v>1054</v>
      </c>
      <c r="R24" s="1">
        <v>95</v>
      </c>
    </row>
    <row r="25" spans="1:19" ht="12.75">
      <c r="A25" s="110" t="s">
        <v>401</v>
      </c>
      <c r="B25" s="167" t="s">
        <v>591</v>
      </c>
      <c r="C25" s="112">
        <v>4</v>
      </c>
      <c r="D25" s="127">
        <f t="shared" si="0"/>
        <v>4.2</v>
      </c>
      <c r="E25" s="114" t="s">
        <v>692</v>
      </c>
      <c r="F25" s="112" t="s">
        <v>1245</v>
      </c>
      <c r="G25" s="112">
        <v>1</v>
      </c>
      <c r="H25" s="111">
        <v>10</v>
      </c>
      <c r="I25" s="112">
        <v>200</v>
      </c>
      <c r="J25" s="112">
        <v>10</v>
      </c>
      <c r="K25" s="112">
        <v>50</v>
      </c>
      <c r="L25" s="110"/>
      <c r="M25" s="110" t="s">
        <v>401</v>
      </c>
      <c r="N25" s="1">
        <v>13222</v>
      </c>
      <c r="P25" s="1">
        <v>675</v>
      </c>
      <c r="Q25" s="1">
        <v>75</v>
      </c>
      <c r="R25" s="1">
        <v>381</v>
      </c>
    </row>
    <row r="26" spans="1:19" ht="12.75">
      <c r="A26" s="1" t="s">
        <v>402</v>
      </c>
      <c r="B26" s="167" t="s">
        <v>591</v>
      </c>
      <c r="C26" s="112">
        <v>4</v>
      </c>
      <c r="D26" s="127">
        <f t="shared" si="0"/>
        <v>4.2</v>
      </c>
      <c r="E26" s="114" t="s">
        <v>692</v>
      </c>
      <c r="F26" s="112" t="s">
        <v>1245</v>
      </c>
      <c r="G26" s="112">
        <v>1</v>
      </c>
      <c r="H26" s="111">
        <v>10</v>
      </c>
      <c r="I26" s="112">
        <v>200</v>
      </c>
      <c r="J26" s="112">
        <v>10</v>
      </c>
      <c r="K26" s="112">
        <v>50</v>
      </c>
      <c r="L26" s="1"/>
      <c r="M26" s="1" t="s">
        <v>402</v>
      </c>
      <c r="N26" s="1">
        <v>13285</v>
      </c>
      <c r="P26" s="1">
        <v>516</v>
      </c>
      <c r="Q26" s="1">
        <v>397</v>
      </c>
      <c r="R26" s="1">
        <v>281</v>
      </c>
    </row>
    <row r="27" spans="1:19" ht="12.75">
      <c r="A27" s="1" t="s">
        <v>403</v>
      </c>
      <c r="B27" s="167" t="s">
        <v>1035</v>
      </c>
      <c r="C27" s="112">
        <v>4</v>
      </c>
      <c r="D27" s="127">
        <f t="shared" si="0"/>
        <v>4.2</v>
      </c>
      <c r="E27" s="114" t="s">
        <v>692</v>
      </c>
      <c r="F27" s="112" t="s">
        <v>1246</v>
      </c>
      <c r="G27" s="112">
        <v>1</v>
      </c>
      <c r="H27" s="111">
        <v>10</v>
      </c>
      <c r="I27" s="112">
        <v>200</v>
      </c>
      <c r="J27" s="112">
        <v>10</v>
      </c>
      <c r="K27" s="112">
        <v>50</v>
      </c>
      <c r="L27" s="1"/>
      <c r="M27" s="1" t="s">
        <v>403</v>
      </c>
      <c r="N27" s="1">
        <v>11683</v>
      </c>
      <c r="P27" s="1">
        <v>448</v>
      </c>
      <c r="Q27" s="1">
        <v>997</v>
      </c>
      <c r="R27" s="1">
        <v>108</v>
      </c>
    </row>
    <row r="28" spans="1:19" ht="12.75">
      <c r="A28" s="1" t="s">
        <v>407</v>
      </c>
      <c r="B28" s="167" t="s">
        <v>1035</v>
      </c>
      <c r="C28" s="112">
        <v>4</v>
      </c>
      <c r="D28" s="127">
        <f t="shared" si="0"/>
        <v>4.2</v>
      </c>
      <c r="E28" s="114" t="s">
        <v>692</v>
      </c>
      <c r="F28" s="112" t="s">
        <v>1246</v>
      </c>
      <c r="G28" s="112">
        <v>1</v>
      </c>
      <c r="H28" s="111">
        <v>10</v>
      </c>
      <c r="I28" s="112">
        <v>200</v>
      </c>
      <c r="J28" s="112">
        <v>10</v>
      </c>
      <c r="K28" s="112">
        <v>50</v>
      </c>
      <c r="L28" s="1"/>
      <c r="M28" s="1" t="s">
        <v>407</v>
      </c>
      <c r="N28" s="1">
        <v>11766</v>
      </c>
      <c r="P28" s="1">
        <v>460</v>
      </c>
      <c r="Q28" s="1">
        <v>991</v>
      </c>
      <c r="R28" s="1">
        <v>102</v>
      </c>
    </row>
    <row r="29" spans="1:19" ht="12.75">
      <c r="A29" s="1" t="s">
        <v>408</v>
      </c>
      <c r="B29" s="167" t="s">
        <v>591</v>
      </c>
      <c r="C29" s="112">
        <v>4</v>
      </c>
      <c r="D29" s="127">
        <f t="shared" si="0"/>
        <v>4.2</v>
      </c>
      <c r="E29" s="114" t="s">
        <v>692</v>
      </c>
      <c r="F29" s="112" t="s">
        <v>1246</v>
      </c>
      <c r="G29" s="112">
        <v>1</v>
      </c>
      <c r="H29" s="111">
        <v>10</v>
      </c>
      <c r="I29" s="112">
        <v>200</v>
      </c>
      <c r="J29" s="112">
        <v>10</v>
      </c>
      <c r="K29" s="112">
        <v>50</v>
      </c>
      <c r="L29" s="1"/>
      <c r="M29" s="1" t="s">
        <v>408</v>
      </c>
      <c r="N29" s="1">
        <v>13245</v>
      </c>
      <c r="P29" s="1">
        <v>592</v>
      </c>
      <c r="Q29" s="1">
        <v>107</v>
      </c>
      <c r="R29" s="1">
        <v>359</v>
      </c>
    </row>
    <row r="30" spans="1:19" ht="12.75">
      <c r="A30" s="1" t="s">
        <v>1148</v>
      </c>
      <c r="B30" s="167" t="s">
        <v>591</v>
      </c>
      <c r="C30" s="112">
        <v>4</v>
      </c>
      <c r="D30" s="127">
        <f t="shared" si="0"/>
        <v>4.2</v>
      </c>
      <c r="E30" s="114" t="s">
        <v>692</v>
      </c>
      <c r="F30" s="112" t="s">
        <v>1246</v>
      </c>
      <c r="G30" s="112">
        <v>1</v>
      </c>
      <c r="H30" s="111">
        <v>10</v>
      </c>
      <c r="I30" s="112">
        <v>200</v>
      </c>
      <c r="J30" s="112">
        <v>10</v>
      </c>
      <c r="K30" s="112">
        <v>50</v>
      </c>
      <c r="L30" s="1"/>
      <c r="M30" s="1" t="s">
        <v>1148</v>
      </c>
      <c r="N30" s="1">
        <v>13595</v>
      </c>
      <c r="P30" s="1">
        <v>606</v>
      </c>
      <c r="Q30" s="1">
        <v>135</v>
      </c>
      <c r="R30" s="1">
        <v>358</v>
      </c>
    </row>
    <row r="31" spans="1:19" ht="12.75">
      <c r="B31" s="114" t="s">
        <v>300</v>
      </c>
      <c r="C31" s="127">
        <f>SUM(C3:C30)</f>
        <v>112</v>
      </c>
      <c r="E31" s="1"/>
      <c r="H31" s="1" t="s">
        <v>1039</v>
      </c>
      <c r="I31">
        <f>SUM(I3:I30)</f>
        <v>5600</v>
      </c>
      <c r="N31" s="1"/>
      <c r="O31" s="1"/>
      <c r="P31" s="1"/>
      <c r="R31" s="1"/>
      <c r="S31" s="1"/>
    </row>
    <row r="32" spans="1:19" ht="12.75">
      <c r="A32" s="125" t="s">
        <v>1040</v>
      </c>
      <c r="B32" s="1" t="s">
        <v>1041</v>
      </c>
      <c r="I32" s="125" t="s">
        <v>968</v>
      </c>
      <c r="J32" s="114"/>
      <c r="K32" s="114"/>
      <c r="O32" s="1"/>
      <c r="P32" s="1"/>
      <c r="S32" s="1"/>
    </row>
    <row r="33" spans="1:22" ht="12.75">
      <c r="A33" s="1" t="s">
        <v>1247</v>
      </c>
      <c r="I33" s="114" t="s">
        <v>970</v>
      </c>
      <c r="J33" s="114" t="s">
        <v>47</v>
      </c>
      <c r="K33" s="114" t="s">
        <v>300</v>
      </c>
      <c r="O33" s="1"/>
      <c r="P33" s="1"/>
      <c r="S33" s="1"/>
    </row>
    <row r="34" spans="1:22" ht="12.75">
      <c r="A34" s="1" t="s">
        <v>1248</v>
      </c>
      <c r="H34" s="1"/>
      <c r="I34" s="128" t="s">
        <v>1044</v>
      </c>
      <c r="J34" s="126">
        <v>0.3</v>
      </c>
      <c r="O34" s="1"/>
      <c r="P34" s="1"/>
      <c r="S34" s="1"/>
    </row>
    <row r="35" spans="1:22" ht="12.75">
      <c r="A35" s="1" t="s">
        <v>1249</v>
      </c>
      <c r="I35" s="112">
        <v>1900</v>
      </c>
      <c r="J35" s="127">
        <f>I35/J34-I35</f>
        <v>4433.3333333333339</v>
      </c>
      <c r="K35" s="127">
        <f>SUM(I35:J35)</f>
        <v>6333.3333333333339</v>
      </c>
      <c r="O35" s="1"/>
      <c r="P35" s="1"/>
      <c r="R35" s="1"/>
      <c r="S35" s="1"/>
    </row>
    <row r="36" spans="1:22" ht="12.75">
      <c r="A36" s="1"/>
      <c r="H36" s="1"/>
      <c r="I36" s="168"/>
      <c r="J36" s="112"/>
      <c r="K36" s="127"/>
      <c r="O36" s="1"/>
      <c r="P36" s="1" t="s">
        <v>1196</v>
      </c>
      <c r="R36" s="1"/>
      <c r="S36" s="1"/>
    </row>
    <row r="37" spans="1:22" ht="12.75">
      <c r="A37" s="1"/>
      <c r="I37" s="112"/>
      <c r="J37" s="127"/>
      <c r="K37" s="127"/>
      <c r="L37" s="1"/>
      <c r="M37" s="1" t="s">
        <v>816</v>
      </c>
      <c r="N37" s="1" t="s">
        <v>817</v>
      </c>
      <c r="P37" s="1" t="s">
        <v>1250</v>
      </c>
      <c r="Q37" s="1" t="s">
        <v>819</v>
      </c>
      <c r="R37" s="1"/>
      <c r="S37" s="1"/>
    </row>
    <row r="38" spans="1:22" ht="12.75">
      <c r="A38" s="1"/>
      <c r="H38" s="1"/>
      <c r="I38" s="5"/>
      <c r="J38" s="1"/>
      <c r="L38" s="1"/>
      <c r="M38" s="1">
        <v>1</v>
      </c>
      <c r="N38" s="1">
        <v>1</v>
      </c>
      <c r="O38" s="1" t="s">
        <v>820</v>
      </c>
      <c r="P38" s="1">
        <v>19.600000000000001</v>
      </c>
      <c r="R38" s="1"/>
      <c r="S38" s="1"/>
    </row>
    <row r="39" spans="1:22" ht="12.75">
      <c r="A39" s="1"/>
      <c r="I39" s="112"/>
      <c r="J39" s="127"/>
      <c r="K39" s="127"/>
      <c r="M39">
        <f t="shared" ref="M39:M113" si="1">M38+1</f>
        <v>2</v>
      </c>
      <c r="N39" s="1">
        <v>2</v>
      </c>
      <c r="O39" s="1" t="s">
        <v>821</v>
      </c>
      <c r="P39" s="1">
        <v>314.10000000000002</v>
      </c>
      <c r="Q39" s="1">
        <v>4.4000000000000004</v>
      </c>
      <c r="R39" s="1"/>
      <c r="S39" s="1"/>
    </row>
    <row r="40" spans="1:22" ht="12.75">
      <c r="A40" s="1"/>
      <c r="H40" s="1"/>
      <c r="I40" s="5"/>
      <c r="J40" s="1"/>
      <c r="M40">
        <f t="shared" si="1"/>
        <v>3</v>
      </c>
      <c r="N40" s="1">
        <v>3</v>
      </c>
      <c r="O40" s="1" t="s">
        <v>822</v>
      </c>
      <c r="P40" s="1">
        <v>87</v>
      </c>
      <c r="Q40" s="1">
        <v>114</v>
      </c>
      <c r="R40" s="1"/>
      <c r="S40" s="1"/>
    </row>
    <row r="41" spans="1:22" ht="12.75">
      <c r="I41" s="112"/>
      <c r="J41" s="127"/>
      <c r="K41" s="127"/>
      <c r="M41">
        <f t="shared" si="1"/>
        <v>4</v>
      </c>
      <c r="N41" s="1">
        <v>4</v>
      </c>
      <c r="O41" s="1" t="s">
        <v>823</v>
      </c>
      <c r="P41" s="1">
        <v>30.1</v>
      </c>
      <c r="Q41" s="1">
        <v>228.1</v>
      </c>
      <c r="R41" s="1"/>
      <c r="S41" s="1"/>
    </row>
    <row r="42" spans="1:22" ht="12.75">
      <c r="M42">
        <f t="shared" si="1"/>
        <v>5</v>
      </c>
      <c r="N42" s="1">
        <v>5</v>
      </c>
      <c r="O42" s="1" t="s">
        <v>692</v>
      </c>
      <c r="P42" s="1">
        <v>15.1</v>
      </c>
      <c r="R42" s="1"/>
      <c r="S42" s="1"/>
    </row>
    <row r="43" spans="1:22" ht="12.75">
      <c r="M43">
        <f t="shared" si="1"/>
        <v>6</v>
      </c>
      <c r="N43" s="1">
        <v>1</v>
      </c>
      <c r="O43" s="1" t="s">
        <v>820</v>
      </c>
      <c r="P43" s="1">
        <v>16.8</v>
      </c>
      <c r="R43" s="1"/>
      <c r="S43" s="1"/>
    </row>
    <row r="44" spans="1:22" ht="12.75">
      <c r="M44">
        <f t="shared" si="1"/>
        <v>7</v>
      </c>
      <c r="N44" s="1">
        <v>6</v>
      </c>
      <c r="O44" s="114" t="s">
        <v>17</v>
      </c>
      <c r="P44" s="1">
        <v>19.3</v>
      </c>
      <c r="Q44" s="1">
        <v>54</v>
      </c>
      <c r="R44" s="1"/>
      <c r="S44" s="1"/>
    </row>
    <row r="45" spans="1:22" ht="12.75">
      <c r="M45">
        <f t="shared" si="1"/>
        <v>8</v>
      </c>
      <c r="N45">
        <f t="shared" ref="N45:N72" si="2">N44+1</f>
        <v>7</v>
      </c>
      <c r="O45" s="114" t="s">
        <v>18</v>
      </c>
      <c r="P45" s="1">
        <v>22</v>
      </c>
      <c r="Q45" s="1">
        <v>53</v>
      </c>
      <c r="R45" s="1"/>
      <c r="S45" s="1"/>
    </row>
    <row r="46" spans="1:22" ht="12.75">
      <c r="M46">
        <f t="shared" si="1"/>
        <v>9</v>
      </c>
      <c r="N46">
        <f t="shared" si="2"/>
        <v>8</v>
      </c>
      <c r="O46" s="114" t="s">
        <v>19</v>
      </c>
      <c r="P46" s="1">
        <v>21.6</v>
      </c>
      <c r="Q46" s="1">
        <v>25.9</v>
      </c>
      <c r="S46" s="1"/>
      <c r="V46" s="1"/>
    </row>
    <row r="47" spans="1:22" ht="12.75">
      <c r="M47">
        <f t="shared" si="1"/>
        <v>10</v>
      </c>
      <c r="N47">
        <f t="shared" si="2"/>
        <v>9</v>
      </c>
      <c r="O47" s="114" t="s">
        <v>20</v>
      </c>
      <c r="P47" s="1">
        <v>23.2</v>
      </c>
      <c r="Q47" s="1">
        <v>35.5</v>
      </c>
      <c r="R47" s="1"/>
      <c r="S47" s="1"/>
    </row>
    <row r="48" spans="1:22" ht="12.75">
      <c r="M48">
        <f t="shared" si="1"/>
        <v>11</v>
      </c>
      <c r="N48">
        <f t="shared" si="2"/>
        <v>10</v>
      </c>
      <c r="O48" s="114" t="s">
        <v>21</v>
      </c>
      <c r="P48" s="1">
        <v>27.6</v>
      </c>
      <c r="Q48" s="1">
        <v>77.3</v>
      </c>
      <c r="S48" s="1"/>
    </row>
    <row r="49" spans="13:19" ht="12.75">
      <c r="M49">
        <f t="shared" si="1"/>
        <v>12</v>
      </c>
      <c r="N49">
        <f t="shared" si="2"/>
        <v>11</v>
      </c>
      <c r="O49" s="114" t="s">
        <v>22</v>
      </c>
      <c r="P49" s="1">
        <v>29.7</v>
      </c>
      <c r="Q49" s="1">
        <v>77.900000000000006</v>
      </c>
      <c r="R49" s="1"/>
      <c r="S49" s="1"/>
    </row>
    <row r="50" spans="13:19" ht="12.75">
      <c r="M50">
        <f t="shared" si="1"/>
        <v>13</v>
      </c>
      <c r="N50">
        <f t="shared" si="2"/>
        <v>12</v>
      </c>
      <c r="O50" s="110" t="s">
        <v>23</v>
      </c>
      <c r="P50" s="1">
        <v>27.2</v>
      </c>
      <c r="Q50" s="1">
        <v>57</v>
      </c>
      <c r="S50" s="1"/>
    </row>
    <row r="51" spans="13:19" ht="12.75">
      <c r="M51">
        <f t="shared" si="1"/>
        <v>14</v>
      </c>
      <c r="N51">
        <f t="shared" si="2"/>
        <v>13</v>
      </c>
      <c r="O51" s="110" t="s">
        <v>24</v>
      </c>
      <c r="P51" s="1">
        <v>29</v>
      </c>
      <c r="Q51" s="1">
        <v>56.1</v>
      </c>
      <c r="S51" s="1"/>
    </row>
    <row r="52" spans="13:19" ht="12.75">
      <c r="M52">
        <f t="shared" si="1"/>
        <v>15</v>
      </c>
      <c r="N52">
        <f t="shared" si="2"/>
        <v>14</v>
      </c>
      <c r="O52" s="110" t="s">
        <v>25</v>
      </c>
      <c r="P52" s="1">
        <v>33.6</v>
      </c>
      <c r="Q52" s="1">
        <v>96.6</v>
      </c>
      <c r="S52" s="1"/>
    </row>
    <row r="53" spans="13:19" ht="12.75">
      <c r="M53">
        <f t="shared" si="1"/>
        <v>16</v>
      </c>
      <c r="N53">
        <f t="shared" si="2"/>
        <v>15</v>
      </c>
      <c r="O53" s="110" t="s">
        <v>26</v>
      </c>
      <c r="P53" s="1">
        <v>34.6</v>
      </c>
      <c r="Q53" s="1">
        <v>91.6</v>
      </c>
    </row>
    <row r="54" spans="13:19" ht="12.75">
      <c r="M54">
        <f t="shared" si="1"/>
        <v>17</v>
      </c>
      <c r="N54">
        <f t="shared" si="2"/>
        <v>16</v>
      </c>
      <c r="O54" s="110" t="s">
        <v>27</v>
      </c>
      <c r="P54" s="1">
        <v>31.6</v>
      </c>
      <c r="Q54" s="1">
        <v>91.5</v>
      </c>
    </row>
    <row r="55" spans="13:19" ht="12.75">
      <c r="M55">
        <f t="shared" si="1"/>
        <v>18</v>
      </c>
      <c r="N55">
        <f t="shared" si="2"/>
        <v>17</v>
      </c>
      <c r="O55" s="110" t="s">
        <v>28</v>
      </c>
      <c r="P55" s="1">
        <v>32.1</v>
      </c>
      <c r="Q55" s="1">
        <v>96.9</v>
      </c>
      <c r="S55" s="1"/>
    </row>
    <row r="56" spans="13:19" ht="12.75">
      <c r="M56">
        <f t="shared" si="1"/>
        <v>19</v>
      </c>
      <c r="N56">
        <f t="shared" si="2"/>
        <v>18</v>
      </c>
      <c r="O56" s="110" t="s">
        <v>29</v>
      </c>
      <c r="P56" s="1">
        <v>38.5</v>
      </c>
      <c r="Q56" s="1">
        <v>115.5</v>
      </c>
      <c r="S56" s="1"/>
    </row>
    <row r="57" spans="13:19" ht="12.75">
      <c r="M57">
        <f t="shared" si="1"/>
        <v>20</v>
      </c>
      <c r="N57">
        <f t="shared" si="2"/>
        <v>19</v>
      </c>
      <c r="O57" s="110" t="s">
        <v>30</v>
      </c>
      <c r="P57" s="1">
        <v>39.299999999999997</v>
      </c>
      <c r="Q57" s="1">
        <v>116.3</v>
      </c>
      <c r="R57" s="1"/>
    </row>
    <row r="58" spans="13:19" ht="12.75">
      <c r="M58">
        <f t="shared" si="1"/>
        <v>21</v>
      </c>
      <c r="N58">
        <f t="shared" si="2"/>
        <v>20</v>
      </c>
      <c r="O58" s="110" t="s">
        <v>31</v>
      </c>
      <c r="P58" s="1">
        <v>36.6</v>
      </c>
      <c r="Q58" s="1">
        <v>144.1</v>
      </c>
      <c r="S58" s="1"/>
    </row>
    <row r="59" spans="13:19" ht="12.75">
      <c r="M59">
        <f t="shared" si="1"/>
        <v>22</v>
      </c>
      <c r="N59">
        <f t="shared" si="2"/>
        <v>21</v>
      </c>
      <c r="O59" s="110" t="s">
        <v>32</v>
      </c>
      <c r="P59" s="1">
        <v>36.1</v>
      </c>
      <c r="Q59" s="1">
        <v>115</v>
      </c>
    </row>
    <row r="60" spans="13:19" ht="12.75">
      <c r="M60">
        <f t="shared" si="1"/>
        <v>23</v>
      </c>
      <c r="N60">
        <f t="shared" si="2"/>
        <v>22</v>
      </c>
      <c r="O60" s="110" t="s">
        <v>34</v>
      </c>
      <c r="P60" s="1">
        <v>43.8</v>
      </c>
      <c r="Q60" s="1">
        <v>128</v>
      </c>
      <c r="S60" s="1"/>
    </row>
    <row r="61" spans="13:19" ht="12.75">
      <c r="M61">
        <f t="shared" si="1"/>
        <v>24</v>
      </c>
      <c r="N61">
        <f t="shared" si="2"/>
        <v>23</v>
      </c>
      <c r="O61" s="110" t="s">
        <v>36</v>
      </c>
      <c r="P61" s="1">
        <v>42.5</v>
      </c>
      <c r="Q61" s="1">
        <v>129.80000000000001</v>
      </c>
      <c r="S61" s="1"/>
    </row>
    <row r="62" spans="13:19" ht="12.75">
      <c r="M62">
        <f t="shared" si="1"/>
        <v>25</v>
      </c>
      <c r="N62">
        <f t="shared" si="2"/>
        <v>24</v>
      </c>
      <c r="O62" s="110" t="s">
        <v>1146</v>
      </c>
      <c r="P62" s="1">
        <v>38.700000000000003</v>
      </c>
      <c r="Q62" s="1">
        <v>128.1</v>
      </c>
      <c r="S62" s="1"/>
    </row>
    <row r="63" spans="13:19" ht="12.75">
      <c r="M63">
        <f t="shared" si="1"/>
        <v>26</v>
      </c>
      <c r="N63">
        <f t="shared" si="2"/>
        <v>25</v>
      </c>
      <c r="O63" s="110" t="s">
        <v>782</v>
      </c>
      <c r="P63" s="1">
        <v>40</v>
      </c>
      <c r="Q63" s="1">
        <v>151.1</v>
      </c>
    </row>
    <row r="64" spans="13:19" ht="12.75">
      <c r="M64">
        <f t="shared" si="1"/>
        <v>27</v>
      </c>
      <c r="N64">
        <f t="shared" si="2"/>
        <v>26</v>
      </c>
      <c r="O64" s="110" t="s">
        <v>42</v>
      </c>
      <c r="P64" s="1">
        <v>45.7</v>
      </c>
      <c r="Q64" s="1">
        <v>142.19999999999999</v>
      </c>
      <c r="R64" s="1"/>
    </row>
    <row r="65" spans="13:22" ht="12.75">
      <c r="M65">
        <f t="shared" si="1"/>
        <v>28</v>
      </c>
      <c r="N65">
        <f t="shared" si="2"/>
        <v>27</v>
      </c>
      <c r="O65" s="110" t="s">
        <v>400</v>
      </c>
      <c r="P65" s="1">
        <v>46.6</v>
      </c>
      <c r="Q65" s="1">
        <v>133</v>
      </c>
      <c r="R65" s="1"/>
      <c r="S65" s="1"/>
    </row>
    <row r="66" spans="13:22" ht="12.75">
      <c r="M66">
        <f t="shared" si="1"/>
        <v>29</v>
      </c>
      <c r="N66">
        <f t="shared" si="2"/>
        <v>28</v>
      </c>
      <c r="O66" s="110" t="s">
        <v>401</v>
      </c>
      <c r="P66" s="1">
        <v>43.9</v>
      </c>
      <c r="Q66" s="1">
        <v>221.2</v>
      </c>
      <c r="S66" s="1"/>
    </row>
    <row r="67" spans="13:22" ht="12.75">
      <c r="M67">
        <f t="shared" si="1"/>
        <v>30</v>
      </c>
      <c r="N67">
        <f t="shared" si="2"/>
        <v>29</v>
      </c>
      <c r="O67" s="1" t="s">
        <v>402</v>
      </c>
      <c r="P67" s="1">
        <v>41.6</v>
      </c>
      <c r="Q67" s="1">
        <v>144.5</v>
      </c>
      <c r="R67" s="1"/>
      <c r="S67" s="1"/>
    </row>
    <row r="68" spans="13:22" ht="12.75">
      <c r="M68">
        <f t="shared" si="1"/>
        <v>31</v>
      </c>
      <c r="N68">
        <f t="shared" si="2"/>
        <v>30</v>
      </c>
      <c r="O68" s="1" t="s">
        <v>403</v>
      </c>
      <c r="P68" s="1">
        <v>49.5</v>
      </c>
      <c r="Q68" s="1">
        <v>155</v>
      </c>
      <c r="S68" s="1"/>
    </row>
    <row r="69" spans="13:22" ht="12.75">
      <c r="M69">
        <f t="shared" si="1"/>
        <v>32</v>
      </c>
      <c r="N69">
        <f t="shared" si="2"/>
        <v>31</v>
      </c>
      <c r="O69" s="1" t="s">
        <v>407</v>
      </c>
      <c r="P69" s="1">
        <v>52</v>
      </c>
      <c r="Q69" s="1">
        <v>159.9</v>
      </c>
      <c r="R69" s="1"/>
      <c r="S69" s="1"/>
    </row>
    <row r="70" spans="13:22" ht="12.75">
      <c r="M70">
        <f t="shared" si="1"/>
        <v>33</v>
      </c>
      <c r="N70">
        <f t="shared" si="2"/>
        <v>32</v>
      </c>
      <c r="O70" s="1" t="s">
        <v>408</v>
      </c>
      <c r="P70" s="1">
        <v>44.6</v>
      </c>
      <c r="Q70" s="1">
        <v>181.3</v>
      </c>
    </row>
    <row r="71" spans="13:22" ht="12.75">
      <c r="M71">
        <f t="shared" si="1"/>
        <v>34</v>
      </c>
      <c r="N71">
        <f t="shared" si="2"/>
        <v>33</v>
      </c>
      <c r="O71" s="1" t="s">
        <v>1148</v>
      </c>
      <c r="P71" s="1">
        <v>46.1</v>
      </c>
      <c r="Q71" s="1">
        <v>195.9</v>
      </c>
      <c r="S71" s="1"/>
    </row>
    <row r="72" spans="13:22" ht="12.75">
      <c r="M72">
        <f t="shared" si="1"/>
        <v>35</v>
      </c>
      <c r="N72">
        <f t="shared" si="2"/>
        <v>34</v>
      </c>
      <c r="O72" s="1" t="s">
        <v>1251</v>
      </c>
      <c r="P72" s="1">
        <v>0</v>
      </c>
      <c r="Q72" s="1">
        <v>0</v>
      </c>
      <c r="R72" s="1"/>
      <c r="S72" s="1"/>
    </row>
    <row r="73" spans="13:22" ht="12.75">
      <c r="M73">
        <f t="shared" si="1"/>
        <v>36</v>
      </c>
      <c r="N73" s="1">
        <v>1</v>
      </c>
      <c r="O73" s="1" t="s">
        <v>820</v>
      </c>
      <c r="P73" s="1">
        <v>54.4</v>
      </c>
      <c r="Q73" s="1"/>
      <c r="S73" s="1"/>
    </row>
    <row r="74" spans="13:22" ht="12.75">
      <c r="M74">
        <f t="shared" si="1"/>
        <v>37</v>
      </c>
      <c r="N74" s="1">
        <v>2</v>
      </c>
      <c r="O74" s="1" t="s">
        <v>821</v>
      </c>
      <c r="P74" s="1">
        <v>338.9</v>
      </c>
      <c r="Q74" s="1">
        <v>14.9</v>
      </c>
    </row>
    <row r="75" spans="13:22" ht="21" customHeight="1">
      <c r="M75">
        <f t="shared" si="1"/>
        <v>38</v>
      </c>
      <c r="N75" s="1">
        <v>3</v>
      </c>
      <c r="O75" s="1" t="s">
        <v>822</v>
      </c>
      <c r="P75" s="1">
        <v>109.3</v>
      </c>
      <c r="Q75" s="1">
        <v>112</v>
      </c>
      <c r="T75" s="1"/>
      <c r="V75" s="1"/>
    </row>
    <row r="76" spans="13:22" ht="12.75">
      <c r="M76">
        <f t="shared" si="1"/>
        <v>39</v>
      </c>
      <c r="N76" s="1">
        <v>4</v>
      </c>
      <c r="O76" s="1" t="s">
        <v>823</v>
      </c>
      <c r="P76" s="1">
        <v>51.3</v>
      </c>
      <c r="Q76" s="1">
        <v>226.1</v>
      </c>
    </row>
    <row r="77" spans="13:22" ht="12.75">
      <c r="M77">
        <f t="shared" si="1"/>
        <v>40</v>
      </c>
      <c r="N77" s="1">
        <v>5</v>
      </c>
      <c r="O77" s="1" t="s">
        <v>692</v>
      </c>
      <c r="P77" s="1">
        <v>32.9</v>
      </c>
      <c r="Q77" s="1"/>
      <c r="S77" s="1"/>
    </row>
    <row r="78" spans="13:22" ht="12.75">
      <c r="M78">
        <f t="shared" si="1"/>
        <v>41</v>
      </c>
      <c r="N78" s="1">
        <v>1</v>
      </c>
      <c r="O78" s="1" t="s">
        <v>820</v>
      </c>
      <c r="P78" s="1">
        <v>34.200000000000003</v>
      </c>
      <c r="Q78" s="1"/>
    </row>
    <row r="79" spans="13:22" ht="12.75">
      <c r="M79">
        <f t="shared" si="1"/>
        <v>42</v>
      </c>
      <c r="N79" s="1">
        <v>6</v>
      </c>
      <c r="O79" s="114" t="s">
        <v>17</v>
      </c>
      <c r="P79" s="1">
        <v>35.700000000000003</v>
      </c>
      <c r="Q79" s="1">
        <v>53.5</v>
      </c>
      <c r="S79" s="1"/>
    </row>
    <row r="80" spans="13:22" ht="12.75">
      <c r="M80">
        <f t="shared" si="1"/>
        <v>43</v>
      </c>
      <c r="N80">
        <f t="shared" ref="N80:N107" si="3">N79+1</f>
        <v>7</v>
      </c>
      <c r="O80" s="114" t="s">
        <v>18</v>
      </c>
      <c r="P80" s="1">
        <v>36.9</v>
      </c>
      <c r="Q80" s="1">
        <v>52.3</v>
      </c>
      <c r="S80" s="1"/>
    </row>
    <row r="81" spans="13:19" ht="12.75">
      <c r="M81">
        <f t="shared" si="1"/>
        <v>44</v>
      </c>
      <c r="N81">
        <f t="shared" si="3"/>
        <v>8</v>
      </c>
      <c r="O81" s="114" t="s">
        <v>19</v>
      </c>
      <c r="P81" s="1">
        <v>37.799999999999997</v>
      </c>
      <c r="Q81" s="1">
        <v>26</v>
      </c>
    </row>
    <row r="82" spans="13:19" ht="12.75">
      <c r="M82">
        <f t="shared" si="1"/>
        <v>45</v>
      </c>
      <c r="N82">
        <f t="shared" si="3"/>
        <v>9</v>
      </c>
      <c r="O82" s="114" t="s">
        <v>20</v>
      </c>
      <c r="P82" s="1">
        <v>38.299999999999997</v>
      </c>
      <c r="Q82" s="1">
        <v>35.200000000000003</v>
      </c>
    </row>
    <row r="83" spans="13:19" ht="12.75">
      <c r="M83">
        <f t="shared" si="1"/>
        <v>46</v>
      </c>
      <c r="N83">
        <f t="shared" si="3"/>
        <v>10</v>
      </c>
      <c r="O83" s="114" t="s">
        <v>21</v>
      </c>
      <c r="P83" s="1">
        <v>42.2</v>
      </c>
      <c r="Q83" s="1">
        <v>77.8</v>
      </c>
      <c r="S83" s="1"/>
    </row>
    <row r="84" spans="13:19" ht="12.75">
      <c r="M84">
        <f t="shared" si="1"/>
        <v>47</v>
      </c>
      <c r="N84">
        <f t="shared" si="3"/>
        <v>11</v>
      </c>
      <c r="O84" s="114" t="s">
        <v>22</v>
      </c>
      <c r="P84" s="1">
        <v>42.3</v>
      </c>
      <c r="Q84" s="1">
        <v>79.3</v>
      </c>
      <c r="S84" s="1"/>
    </row>
    <row r="85" spans="13:19" ht="12.75">
      <c r="M85">
        <f t="shared" si="1"/>
        <v>48</v>
      </c>
      <c r="N85">
        <f t="shared" si="3"/>
        <v>12</v>
      </c>
      <c r="O85" s="110" t="s">
        <v>23</v>
      </c>
      <c r="P85" s="1">
        <v>41.5</v>
      </c>
      <c r="Q85" s="1">
        <v>57.1</v>
      </c>
      <c r="S85" s="1"/>
    </row>
    <row r="86" spans="13:19" ht="12.75">
      <c r="M86">
        <f t="shared" si="1"/>
        <v>49</v>
      </c>
      <c r="N86">
        <f t="shared" si="3"/>
        <v>13</v>
      </c>
      <c r="O86" s="110" t="s">
        <v>24</v>
      </c>
      <c r="P86" s="1">
        <v>41.4</v>
      </c>
      <c r="Q86" s="1">
        <v>55.7</v>
      </c>
      <c r="S86" s="1"/>
    </row>
    <row r="87" spans="13:19" ht="12.75">
      <c r="M87">
        <f t="shared" si="1"/>
        <v>50</v>
      </c>
      <c r="N87">
        <f t="shared" si="3"/>
        <v>14</v>
      </c>
      <c r="O87" s="110" t="s">
        <v>25</v>
      </c>
      <c r="P87" s="1">
        <v>47</v>
      </c>
      <c r="Q87" s="1">
        <v>95.3</v>
      </c>
      <c r="R87" s="1"/>
      <c r="S87" s="1"/>
    </row>
    <row r="88" spans="13:19" ht="12.75">
      <c r="M88">
        <f t="shared" si="1"/>
        <v>51</v>
      </c>
      <c r="N88">
        <f t="shared" si="3"/>
        <v>15</v>
      </c>
      <c r="O88" s="110" t="s">
        <v>26</v>
      </c>
      <c r="P88" s="1">
        <v>46.8</v>
      </c>
      <c r="Q88" s="1">
        <v>91.2</v>
      </c>
      <c r="S88" s="1"/>
    </row>
    <row r="89" spans="13:19" ht="12.75">
      <c r="M89">
        <f t="shared" si="1"/>
        <v>52</v>
      </c>
      <c r="N89">
        <f t="shared" si="3"/>
        <v>16</v>
      </c>
      <c r="O89" s="110" t="s">
        <v>27</v>
      </c>
      <c r="P89" s="1">
        <v>43.2</v>
      </c>
      <c r="Q89" s="1">
        <v>90.9</v>
      </c>
    </row>
    <row r="90" spans="13:19" ht="12.75">
      <c r="M90">
        <f t="shared" si="1"/>
        <v>53</v>
      </c>
      <c r="N90">
        <f t="shared" si="3"/>
        <v>17</v>
      </c>
      <c r="O90" s="110" t="s">
        <v>28</v>
      </c>
      <c r="P90" s="1">
        <v>43.3</v>
      </c>
      <c r="Q90" s="1">
        <v>96.1</v>
      </c>
    </row>
    <row r="91" spans="13:19" ht="12.75">
      <c r="M91">
        <f t="shared" si="1"/>
        <v>54</v>
      </c>
      <c r="N91">
        <f t="shared" si="3"/>
        <v>18</v>
      </c>
      <c r="O91" s="110" t="s">
        <v>29</v>
      </c>
      <c r="P91" s="1">
        <v>49.5</v>
      </c>
      <c r="Q91" s="1">
        <v>115.1</v>
      </c>
    </row>
    <row r="92" spans="13:19" ht="12.75">
      <c r="M92">
        <f t="shared" si="1"/>
        <v>55</v>
      </c>
      <c r="N92">
        <f t="shared" si="3"/>
        <v>19</v>
      </c>
      <c r="O92" s="110" t="s">
        <v>30</v>
      </c>
      <c r="P92" s="1">
        <v>49.4</v>
      </c>
      <c r="Q92" s="1">
        <v>115.7</v>
      </c>
    </row>
    <row r="93" spans="13:19" ht="12.75">
      <c r="M93">
        <f t="shared" si="1"/>
        <v>56</v>
      </c>
      <c r="N93">
        <f t="shared" si="3"/>
        <v>20</v>
      </c>
      <c r="O93" s="110" t="s">
        <v>31</v>
      </c>
      <c r="P93" s="1">
        <v>46.7</v>
      </c>
      <c r="Q93" s="1">
        <v>143.19999999999999</v>
      </c>
    </row>
    <row r="94" spans="13:19" ht="12.75">
      <c r="M94">
        <f t="shared" si="1"/>
        <v>57</v>
      </c>
      <c r="N94">
        <f t="shared" si="3"/>
        <v>21</v>
      </c>
      <c r="O94" s="110" t="s">
        <v>32</v>
      </c>
      <c r="P94" s="1">
        <v>46.6</v>
      </c>
      <c r="Q94" s="1">
        <v>114.5</v>
      </c>
    </row>
    <row r="95" spans="13:19" ht="12.75">
      <c r="M95">
        <f t="shared" si="1"/>
        <v>58</v>
      </c>
      <c r="N95">
        <f t="shared" si="3"/>
        <v>22</v>
      </c>
      <c r="O95" s="110" t="s">
        <v>34</v>
      </c>
      <c r="P95" s="1">
        <v>51.9</v>
      </c>
      <c r="Q95" s="1">
        <v>128.19999999999999</v>
      </c>
    </row>
    <row r="96" spans="13:19" ht="12.75">
      <c r="M96">
        <f t="shared" si="1"/>
        <v>59</v>
      </c>
      <c r="N96">
        <f t="shared" si="3"/>
        <v>23</v>
      </c>
      <c r="O96" s="110" t="s">
        <v>36</v>
      </c>
      <c r="P96" s="1">
        <v>52.9</v>
      </c>
      <c r="Q96" s="1">
        <v>130.5</v>
      </c>
    </row>
    <row r="97" spans="13:18" ht="12.75">
      <c r="M97">
        <f t="shared" si="1"/>
        <v>60</v>
      </c>
      <c r="N97">
        <f t="shared" si="3"/>
        <v>24</v>
      </c>
      <c r="O97" s="110" t="s">
        <v>1146</v>
      </c>
      <c r="P97" s="1">
        <v>47.4</v>
      </c>
      <c r="Q97" s="1">
        <v>127.9</v>
      </c>
    </row>
    <row r="98" spans="13:18" ht="12.75">
      <c r="M98">
        <f t="shared" si="1"/>
        <v>61</v>
      </c>
      <c r="N98">
        <f t="shared" si="3"/>
        <v>25</v>
      </c>
      <c r="O98" s="110" t="s">
        <v>782</v>
      </c>
      <c r="P98" s="1">
        <v>47.2</v>
      </c>
      <c r="Q98" s="1">
        <v>149.30000000000001</v>
      </c>
    </row>
    <row r="99" spans="13:18" ht="12.75">
      <c r="M99">
        <f t="shared" si="1"/>
        <v>62</v>
      </c>
      <c r="N99">
        <f t="shared" si="3"/>
        <v>26</v>
      </c>
      <c r="O99" s="110" t="s">
        <v>42</v>
      </c>
      <c r="P99" s="1">
        <v>53.6</v>
      </c>
      <c r="Q99" s="1">
        <v>141.80000000000001</v>
      </c>
    </row>
    <row r="100" spans="13:18" ht="12.75">
      <c r="M100">
        <f t="shared" si="1"/>
        <v>63</v>
      </c>
      <c r="N100">
        <f t="shared" si="3"/>
        <v>27</v>
      </c>
      <c r="O100" s="110" t="s">
        <v>400</v>
      </c>
      <c r="P100" s="1">
        <v>53.4</v>
      </c>
      <c r="Q100" s="1">
        <v>132.5</v>
      </c>
    </row>
    <row r="101" spans="13:18" ht="12.75">
      <c r="M101">
        <f t="shared" si="1"/>
        <v>64</v>
      </c>
      <c r="N101">
        <f t="shared" si="3"/>
        <v>28</v>
      </c>
      <c r="O101" s="110" t="s">
        <v>401</v>
      </c>
      <c r="P101" s="1">
        <v>50.3</v>
      </c>
      <c r="Q101" s="1">
        <v>220.5</v>
      </c>
    </row>
    <row r="102" spans="13:18" ht="12.75">
      <c r="M102">
        <f t="shared" si="1"/>
        <v>65</v>
      </c>
      <c r="N102">
        <f t="shared" si="3"/>
        <v>29</v>
      </c>
      <c r="O102" s="1" t="s">
        <v>402</v>
      </c>
      <c r="P102" s="1">
        <v>48.3</v>
      </c>
      <c r="Q102" s="1">
        <v>145</v>
      </c>
    </row>
    <row r="103" spans="13:18" ht="12.75">
      <c r="M103">
        <f t="shared" si="1"/>
        <v>66</v>
      </c>
      <c r="N103">
        <f t="shared" si="3"/>
        <v>30</v>
      </c>
      <c r="O103" s="1" t="s">
        <v>403</v>
      </c>
      <c r="R103" s="1" t="s">
        <v>1198</v>
      </c>
    </row>
    <row r="104" spans="13:18" ht="12.75">
      <c r="M104">
        <f t="shared" si="1"/>
        <v>67</v>
      </c>
      <c r="N104">
        <f t="shared" si="3"/>
        <v>31</v>
      </c>
      <c r="O104" s="1" t="s">
        <v>407</v>
      </c>
      <c r="P104" s="1">
        <v>72.400000000000006</v>
      </c>
      <c r="Q104" s="1">
        <v>160.4</v>
      </c>
    </row>
    <row r="105" spans="13:18" ht="12.75">
      <c r="M105">
        <f t="shared" si="1"/>
        <v>68</v>
      </c>
      <c r="N105">
        <f t="shared" si="3"/>
        <v>32</v>
      </c>
      <c r="O105" s="1" t="s">
        <v>408</v>
      </c>
      <c r="P105" s="1">
        <v>49.4</v>
      </c>
      <c r="Q105" s="1">
        <v>183.7</v>
      </c>
    </row>
    <row r="106" spans="13:18" ht="12.75">
      <c r="M106">
        <f t="shared" si="1"/>
        <v>69</v>
      </c>
      <c r="N106">
        <f t="shared" si="3"/>
        <v>33</v>
      </c>
      <c r="O106" s="1" t="s">
        <v>1148</v>
      </c>
      <c r="P106" s="1">
        <v>48</v>
      </c>
      <c r="Q106" s="1">
        <v>197.1</v>
      </c>
    </row>
    <row r="107" spans="13:18" ht="12.75">
      <c r="M107">
        <f t="shared" si="1"/>
        <v>70</v>
      </c>
      <c r="N107">
        <f t="shared" si="3"/>
        <v>34</v>
      </c>
      <c r="O107" s="1" t="s">
        <v>1251</v>
      </c>
      <c r="R107" s="1" t="s">
        <v>1198</v>
      </c>
    </row>
    <row r="108" spans="13:18" ht="12.75">
      <c r="M108">
        <f t="shared" si="1"/>
        <v>71</v>
      </c>
      <c r="N108" s="1">
        <v>1</v>
      </c>
      <c r="O108" s="1" t="s">
        <v>820</v>
      </c>
      <c r="P108" s="1">
        <v>58.4</v>
      </c>
      <c r="Q108" s="1"/>
    </row>
    <row r="109" spans="13:18" ht="12.75">
      <c r="M109">
        <f t="shared" si="1"/>
        <v>72</v>
      </c>
      <c r="N109" s="1">
        <v>2</v>
      </c>
      <c r="O109" s="1" t="s">
        <v>821</v>
      </c>
      <c r="P109" s="1">
        <v>334</v>
      </c>
      <c r="Q109" s="1">
        <v>14.8</v>
      </c>
    </row>
    <row r="110" spans="13:18" ht="12.75">
      <c r="M110">
        <f t="shared" si="1"/>
        <v>73</v>
      </c>
      <c r="N110" s="1">
        <v>3</v>
      </c>
      <c r="O110" s="1" t="s">
        <v>822</v>
      </c>
      <c r="P110" s="1">
        <v>110.9</v>
      </c>
      <c r="Q110" s="1">
        <v>111.8</v>
      </c>
    </row>
    <row r="111" spans="13:18" ht="12.75">
      <c r="M111">
        <f t="shared" si="1"/>
        <v>74</v>
      </c>
      <c r="N111" s="1">
        <v>4</v>
      </c>
      <c r="O111" s="1" t="s">
        <v>823</v>
      </c>
      <c r="P111" s="1">
        <v>52.5</v>
      </c>
      <c r="Q111" s="1">
        <v>226.8</v>
      </c>
    </row>
    <row r="112" spans="13:18" ht="12.75">
      <c r="M112">
        <f t="shared" si="1"/>
        <v>75</v>
      </c>
      <c r="N112" s="1">
        <v>5</v>
      </c>
      <c r="O112" s="1" t="s">
        <v>692</v>
      </c>
      <c r="P112" s="1">
        <v>35.700000000000003</v>
      </c>
    </row>
    <row r="113" spans="13:16" ht="12.75">
      <c r="M113">
        <f t="shared" si="1"/>
        <v>76</v>
      </c>
      <c r="N113" s="1">
        <v>1</v>
      </c>
      <c r="O113" s="1" t="s">
        <v>820</v>
      </c>
      <c r="P113" s="1">
        <v>36.4</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7"/>
  <sheetViews>
    <sheetView workbookViewId="0"/>
  </sheetViews>
  <sheetFormatPr defaultColWidth="14.42578125" defaultRowHeight="15.75" customHeight="1"/>
  <sheetData>
    <row r="2" spans="1:1" ht="15.75" customHeight="1">
      <c r="A2" s="1" t="s">
        <v>1252</v>
      </c>
    </row>
    <row r="3" spans="1:1" ht="15.75" customHeight="1">
      <c r="A3" s="1" t="s">
        <v>1253</v>
      </c>
    </row>
    <row r="4" spans="1:1" ht="15.75" customHeight="1">
      <c r="A4" s="1" t="s">
        <v>1254</v>
      </c>
    </row>
    <row r="5" spans="1:1" ht="15.75" customHeight="1">
      <c r="A5" s="1" t="s">
        <v>1255</v>
      </c>
    </row>
    <row r="6" spans="1:1" ht="15.75" customHeight="1">
      <c r="A6" s="1" t="s">
        <v>1256</v>
      </c>
    </row>
    <row r="8" spans="1:1" ht="15.75" customHeight="1">
      <c r="A8" s="178" t="s">
        <v>1257</v>
      </c>
    </row>
    <row r="9" spans="1:1" ht="15.75" customHeight="1">
      <c r="A9" s="166" t="s">
        <v>1258</v>
      </c>
    </row>
    <row r="10" spans="1:1" ht="15.75" customHeight="1">
      <c r="A10" s="166" t="s">
        <v>1259</v>
      </c>
    </row>
    <row r="11" spans="1:1" ht="15.75" customHeight="1">
      <c r="A11" s="166" t="s">
        <v>1260</v>
      </c>
    </row>
    <row r="12" spans="1:1" ht="15.75" customHeight="1">
      <c r="A12" s="166" t="s">
        <v>1261</v>
      </c>
    </row>
    <row r="13" spans="1:1" ht="15.75" customHeight="1">
      <c r="A13" s="166" t="s">
        <v>1262</v>
      </c>
    </row>
    <row r="14" spans="1:1" ht="15.75" customHeight="1">
      <c r="A14" s="166" t="s">
        <v>1263</v>
      </c>
    </row>
    <row r="15" spans="1:1" ht="15.75" customHeight="1">
      <c r="A15" s="166" t="s">
        <v>1264</v>
      </c>
    </row>
    <row r="17" spans="1:4" ht="15.75" customHeight="1">
      <c r="A17" s="1">
        <v>1</v>
      </c>
      <c r="B17" s="1" t="s">
        <v>1265</v>
      </c>
    </row>
    <row r="18" spans="1:4" ht="15.75" customHeight="1">
      <c r="A18" s="1">
        <v>2</v>
      </c>
      <c r="B18" s="1" t="s">
        <v>1266</v>
      </c>
    </row>
    <row r="19" spans="1:4" ht="15.75" customHeight="1">
      <c r="A19" s="1">
        <v>3</v>
      </c>
      <c r="B19" s="1" t="s">
        <v>952</v>
      </c>
    </row>
    <row r="20" spans="1:4" ht="15.75" customHeight="1">
      <c r="A20" s="1">
        <v>4</v>
      </c>
      <c r="B20" s="1" t="s">
        <v>1267</v>
      </c>
      <c r="D20" s="178"/>
    </row>
    <row r="21" spans="1:4" ht="15.75" customHeight="1">
      <c r="D21" s="166"/>
    </row>
    <row r="22" spans="1:4" ht="15.75" customHeight="1">
      <c r="D22" s="166"/>
    </row>
    <row r="23" spans="1:4" ht="15.75" customHeight="1">
      <c r="D23" s="166"/>
    </row>
    <row r="24" spans="1:4" ht="15.75" customHeight="1">
      <c r="D24" s="166"/>
    </row>
    <row r="25" spans="1:4" ht="15.75" customHeight="1">
      <c r="D25" s="166"/>
    </row>
    <row r="26" spans="1:4" ht="15.75" customHeight="1">
      <c r="D26" s="166"/>
    </row>
    <row r="27" spans="1:4" ht="15.75" customHeight="1">
      <c r="D27" s="166"/>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8"/>
  <sheetViews>
    <sheetView workbookViewId="0"/>
  </sheetViews>
  <sheetFormatPr defaultColWidth="14.42578125" defaultRowHeight="15.75" customHeight="1"/>
  <cols>
    <col min="6" max="6" width="16.7109375" customWidth="1"/>
  </cols>
  <sheetData>
    <row r="1" spans="1:24" ht="15.75" customHeight="1">
      <c r="A1" s="1" t="s">
        <v>1223</v>
      </c>
    </row>
    <row r="3" spans="1:24" ht="15.75" customHeight="1">
      <c r="A3" s="114" t="s">
        <v>1</v>
      </c>
      <c r="B3" s="114" t="s">
        <v>659</v>
      </c>
      <c r="C3" s="114" t="s">
        <v>660</v>
      </c>
      <c r="D3" s="114" t="s">
        <v>661</v>
      </c>
      <c r="E3" s="114" t="s">
        <v>1032</v>
      </c>
      <c r="F3" s="110" t="s">
        <v>1224</v>
      </c>
      <c r="G3" s="110" t="s">
        <v>585</v>
      </c>
      <c r="H3" s="114" t="s">
        <v>97</v>
      </c>
      <c r="I3" s="114" t="s">
        <v>664</v>
      </c>
      <c r="J3" s="114" t="s">
        <v>665</v>
      </c>
      <c r="K3" s="114" t="s">
        <v>666</v>
      </c>
      <c r="L3" s="114" t="s">
        <v>667</v>
      </c>
      <c r="N3" s="1" t="s">
        <v>6</v>
      </c>
      <c r="O3" s="1" t="s">
        <v>7</v>
      </c>
      <c r="P3" s="1" t="s">
        <v>8</v>
      </c>
      <c r="Q3" s="1" t="s">
        <v>9</v>
      </c>
      <c r="R3" s="1" t="s">
        <v>10</v>
      </c>
      <c r="T3" s="166"/>
      <c r="U3" s="166"/>
      <c r="V3" s="166"/>
    </row>
    <row r="4" spans="1:24" ht="15.75" customHeight="1">
      <c r="A4" s="114" t="s">
        <v>962</v>
      </c>
      <c r="B4" s="114"/>
      <c r="C4" s="114"/>
      <c r="D4" s="114"/>
      <c r="E4" s="114"/>
      <c r="F4" s="114"/>
      <c r="G4" s="110"/>
      <c r="H4" s="114"/>
      <c r="I4" s="114"/>
      <c r="J4" s="114"/>
      <c r="L4" s="114"/>
    </row>
    <row r="5" spans="1:24" ht="15.75" customHeight="1">
      <c r="A5" s="114" t="s">
        <v>17</v>
      </c>
      <c r="B5" s="110" t="s">
        <v>591</v>
      </c>
      <c r="C5" s="111">
        <v>4</v>
      </c>
      <c r="D5" s="127">
        <f t="shared" ref="D5:D19" si="0">C5+J5/1000</f>
        <v>4.2</v>
      </c>
      <c r="E5" s="114" t="s">
        <v>692</v>
      </c>
      <c r="F5" s="112" t="s">
        <v>1268</v>
      </c>
      <c r="G5" s="110" t="s">
        <v>1035</v>
      </c>
      <c r="H5" s="111">
        <v>1</v>
      </c>
      <c r="I5" s="111">
        <v>10</v>
      </c>
      <c r="J5" s="112">
        <v>200</v>
      </c>
      <c r="K5" s="112">
        <v>10</v>
      </c>
      <c r="L5" s="112">
        <v>50</v>
      </c>
      <c r="N5" s="1">
        <v>13721.1</v>
      </c>
      <c r="O5" s="1">
        <v>0</v>
      </c>
      <c r="P5" s="1">
        <v>407.8</v>
      </c>
      <c r="Q5" s="1">
        <v>1367.4</v>
      </c>
      <c r="R5" s="1">
        <v>39.1</v>
      </c>
      <c r="S5" s="1"/>
      <c r="T5" s="1"/>
      <c r="V5" s="166"/>
      <c r="W5" s="166"/>
      <c r="X5" s="166"/>
    </row>
    <row r="6" spans="1:24" ht="15.75" customHeight="1">
      <c r="A6" s="114" t="s">
        <v>18</v>
      </c>
      <c r="B6" s="110" t="s">
        <v>591</v>
      </c>
      <c r="C6" s="111">
        <v>4</v>
      </c>
      <c r="D6" s="127">
        <f t="shared" si="0"/>
        <v>4.2</v>
      </c>
      <c r="E6" s="114" t="s">
        <v>692</v>
      </c>
      <c r="F6" s="112" t="s">
        <v>1268</v>
      </c>
      <c r="G6" s="110" t="s">
        <v>1035</v>
      </c>
      <c r="H6" s="111">
        <v>1</v>
      </c>
      <c r="I6" s="111">
        <v>10</v>
      </c>
      <c r="J6" s="112">
        <v>200</v>
      </c>
      <c r="K6" s="112">
        <v>10</v>
      </c>
      <c r="L6" s="112">
        <v>50</v>
      </c>
      <c r="N6" s="1">
        <v>12111.7</v>
      </c>
      <c r="O6" s="1">
        <v>0</v>
      </c>
      <c r="P6" s="1">
        <v>325.10000000000002</v>
      </c>
      <c r="Q6" s="1">
        <v>1270.5</v>
      </c>
      <c r="R6" s="1">
        <v>20.5</v>
      </c>
      <c r="V6" s="166"/>
      <c r="W6" s="166"/>
      <c r="X6" s="176"/>
    </row>
    <row r="7" spans="1:24" ht="15.75" customHeight="1">
      <c r="A7" s="114" t="s">
        <v>19</v>
      </c>
      <c r="B7" s="110" t="s">
        <v>591</v>
      </c>
      <c r="C7" s="111">
        <v>4</v>
      </c>
      <c r="D7" s="127">
        <f t="shared" si="0"/>
        <v>4.2</v>
      </c>
      <c r="E7" s="114" t="s">
        <v>692</v>
      </c>
      <c r="F7" s="112" t="s">
        <v>1268</v>
      </c>
      <c r="G7" s="110" t="s">
        <v>1035</v>
      </c>
      <c r="H7" s="111">
        <v>1</v>
      </c>
      <c r="I7" s="111">
        <v>10</v>
      </c>
      <c r="J7" s="112">
        <v>200</v>
      </c>
      <c r="K7" s="112">
        <v>10</v>
      </c>
      <c r="L7" s="112">
        <v>50</v>
      </c>
      <c r="N7" s="1">
        <v>11642.7</v>
      </c>
      <c r="O7" s="1">
        <v>0</v>
      </c>
      <c r="P7" s="1">
        <v>351.3</v>
      </c>
      <c r="Q7" s="1">
        <v>1237.9000000000001</v>
      </c>
      <c r="R7" s="1">
        <v>22.8</v>
      </c>
      <c r="S7" s="1"/>
      <c r="T7" s="1"/>
    </row>
    <row r="8" spans="1:24" ht="15.75" customHeight="1">
      <c r="A8" s="114" t="s">
        <v>20</v>
      </c>
      <c r="B8" s="110" t="s">
        <v>591</v>
      </c>
      <c r="C8" s="112">
        <v>4</v>
      </c>
      <c r="D8" s="127">
        <f t="shared" si="0"/>
        <v>4.2</v>
      </c>
      <c r="E8" s="114" t="s">
        <v>692</v>
      </c>
      <c r="F8" s="112" t="s">
        <v>1269</v>
      </c>
      <c r="G8" s="110" t="s">
        <v>1035</v>
      </c>
      <c r="H8" s="111">
        <v>1</v>
      </c>
      <c r="I8" s="111">
        <v>10</v>
      </c>
      <c r="J8" s="112">
        <v>200</v>
      </c>
      <c r="K8" s="112">
        <v>10</v>
      </c>
      <c r="L8" s="112">
        <v>50</v>
      </c>
      <c r="N8" s="1">
        <v>11778.2</v>
      </c>
      <c r="O8" s="1">
        <v>0</v>
      </c>
      <c r="P8" s="1">
        <v>329.2</v>
      </c>
      <c r="Q8" s="1">
        <v>1295</v>
      </c>
      <c r="R8" s="1">
        <v>0</v>
      </c>
      <c r="S8" s="1"/>
      <c r="T8" s="1"/>
    </row>
    <row r="9" spans="1:24" ht="15.75" customHeight="1">
      <c r="A9" s="114" t="s">
        <v>21</v>
      </c>
      <c r="B9" s="110" t="s">
        <v>591</v>
      </c>
      <c r="C9" s="112">
        <v>4</v>
      </c>
      <c r="D9" s="127">
        <f t="shared" si="0"/>
        <v>4.2</v>
      </c>
      <c r="E9" s="114" t="s">
        <v>692</v>
      </c>
      <c r="F9" s="112" t="s">
        <v>1269</v>
      </c>
      <c r="G9" s="110" t="s">
        <v>1035</v>
      </c>
      <c r="H9" s="111">
        <v>1</v>
      </c>
      <c r="I9" s="111">
        <v>10</v>
      </c>
      <c r="J9" s="112">
        <v>200</v>
      </c>
      <c r="K9" s="112">
        <v>10</v>
      </c>
      <c r="L9" s="112">
        <v>50</v>
      </c>
      <c r="N9" s="1">
        <v>11955.9</v>
      </c>
      <c r="O9" s="1">
        <v>0</v>
      </c>
      <c r="P9" s="1">
        <v>327.3</v>
      </c>
      <c r="Q9" s="1">
        <v>1286.5999999999999</v>
      </c>
      <c r="R9" s="1">
        <v>11.9</v>
      </c>
      <c r="S9" s="1"/>
      <c r="T9" s="1"/>
    </row>
    <row r="10" spans="1:24" ht="15.75" customHeight="1">
      <c r="A10" s="114" t="s">
        <v>22</v>
      </c>
      <c r="B10" s="110" t="s">
        <v>591</v>
      </c>
      <c r="C10" s="112">
        <v>4</v>
      </c>
      <c r="D10" s="127">
        <f t="shared" si="0"/>
        <v>4.2</v>
      </c>
      <c r="E10" s="114" t="s">
        <v>692</v>
      </c>
      <c r="F10" s="112" t="s">
        <v>1269</v>
      </c>
      <c r="G10" s="110" t="s">
        <v>1035</v>
      </c>
      <c r="H10" s="111">
        <v>1</v>
      </c>
      <c r="I10" s="111">
        <v>10</v>
      </c>
      <c r="J10" s="112">
        <v>200</v>
      </c>
      <c r="K10" s="112">
        <v>10</v>
      </c>
      <c r="L10" s="112">
        <v>50</v>
      </c>
      <c r="N10" s="1">
        <v>11857.4</v>
      </c>
      <c r="O10" s="1">
        <v>0</v>
      </c>
      <c r="P10" s="1">
        <v>328.4</v>
      </c>
      <c r="Q10" s="1">
        <v>1296.2</v>
      </c>
      <c r="R10" s="1">
        <v>0</v>
      </c>
      <c r="S10" s="1"/>
      <c r="T10" s="1"/>
    </row>
    <row r="11" spans="1:24" ht="15.75" customHeight="1">
      <c r="A11" s="110" t="s">
        <v>23</v>
      </c>
      <c r="B11" s="110" t="s">
        <v>591</v>
      </c>
      <c r="C11" s="112">
        <v>4</v>
      </c>
      <c r="D11" s="127">
        <f t="shared" si="0"/>
        <v>4.2</v>
      </c>
      <c r="E11" s="114" t="s">
        <v>692</v>
      </c>
      <c r="F11" s="112" t="s">
        <v>1270</v>
      </c>
      <c r="G11" s="110" t="s">
        <v>1035</v>
      </c>
      <c r="H11" s="111">
        <v>1</v>
      </c>
      <c r="I11" s="111">
        <v>10</v>
      </c>
      <c r="J11" s="112">
        <v>200</v>
      </c>
      <c r="K11" s="112">
        <v>10</v>
      </c>
      <c r="L11" s="112">
        <v>50</v>
      </c>
      <c r="N11" s="1"/>
      <c r="P11" s="1"/>
      <c r="Q11" s="1"/>
      <c r="R11" s="1"/>
      <c r="S11" s="1"/>
      <c r="T11" s="1"/>
    </row>
    <row r="12" spans="1:24" ht="15.75" customHeight="1">
      <c r="A12" s="110" t="s">
        <v>24</v>
      </c>
      <c r="B12" s="110" t="s">
        <v>591</v>
      </c>
      <c r="C12" s="112">
        <v>4</v>
      </c>
      <c r="D12" s="127">
        <f t="shared" si="0"/>
        <v>4.2</v>
      </c>
      <c r="E12" s="114" t="s">
        <v>692</v>
      </c>
      <c r="F12" s="112" t="s">
        <v>1270</v>
      </c>
      <c r="G12" s="110" t="s">
        <v>1035</v>
      </c>
      <c r="H12" s="111">
        <v>1</v>
      </c>
      <c r="I12" s="111">
        <v>10</v>
      </c>
      <c r="J12" s="112">
        <v>200</v>
      </c>
      <c r="K12" s="112">
        <v>10</v>
      </c>
      <c r="L12" s="112">
        <v>50</v>
      </c>
      <c r="N12" s="1">
        <v>11440.7</v>
      </c>
      <c r="O12" s="1">
        <v>0</v>
      </c>
      <c r="P12" s="1">
        <v>377.6</v>
      </c>
      <c r="Q12" s="1">
        <v>1247.5999999999999</v>
      </c>
      <c r="R12" s="1">
        <v>0</v>
      </c>
      <c r="S12" s="1"/>
      <c r="T12" s="1"/>
    </row>
    <row r="13" spans="1:24" ht="15.75" customHeight="1">
      <c r="A13" s="110" t="s">
        <v>25</v>
      </c>
      <c r="B13" s="110" t="s">
        <v>591</v>
      </c>
      <c r="C13" s="112">
        <v>4</v>
      </c>
      <c r="D13" s="127">
        <f t="shared" si="0"/>
        <v>4.2</v>
      </c>
      <c r="E13" s="114" t="s">
        <v>692</v>
      </c>
      <c r="F13" s="112" t="s">
        <v>1270</v>
      </c>
      <c r="G13" s="110" t="s">
        <v>1035</v>
      </c>
      <c r="H13" s="111">
        <v>1</v>
      </c>
      <c r="I13" s="111">
        <v>10</v>
      </c>
      <c r="J13" s="112">
        <v>200</v>
      </c>
      <c r="K13" s="112">
        <v>10</v>
      </c>
      <c r="L13" s="112">
        <v>50</v>
      </c>
      <c r="N13" s="1"/>
      <c r="P13" s="1"/>
      <c r="Q13" s="1"/>
      <c r="R13" s="1"/>
      <c r="S13" s="1"/>
      <c r="T13" s="1"/>
    </row>
    <row r="14" spans="1:24" ht="15.75" customHeight="1">
      <c r="A14" s="110" t="s">
        <v>26</v>
      </c>
      <c r="B14" s="110" t="s">
        <v>591</v>
      </c>
      <c r="C14" s="112">
        <v>4</v>
      </c>
      <c r="D14" s="127">
        <f t="shared" si="0"/>
        <v>4.2</v>
      </c>
      <c r="E14" s="114" t="s">
        <v>692</v>
      </c>
      <c r="F14" s="112" t="s">
        <v>1268</v>
      </c>
      <c r="G14" s="110" t="s">
        <v>1271</v>
      </c>
      <c r="H14" s="111">
        <v>1</v>
      </c>
      <c r="I14" s="111">
        <v>10</v>
      </c>
      <c r="J14" s="112">
        <v>200</v>
      </c>
      <c r="K14" s="112">
        <v>10</v>
      </c>
      <c r="L14" s="112">
        <v>50</v>
      </c>
      <c r="N14" s="1"/>
      <c r="P14" s="1"/>
      <c r="Q14" s="1"/>
      <c r="R14" s="1"/>
      <c r="S14" s="1"/>
      <c r="T14" s="1"/>
    </row>
    <row r="15" spans="1:24" ht="15.75" customHeight="1">
      <c r="A15" s="110" t="s">
        <v>27</v>
      </c>
      <c r="B15" s="110" t="s">
        <v>591</v>
      </c>
      <c r="C15" s="112">
        <v>4</v>
      </c>
      <c r="D15" s="127">
        <f t="shared" si="0"/>
        <v>4.2</v>
      </c>
      <c r="E15" s="114" t="s">
        <v>692</v>
      </c>
      <c r="F15" s="112" t="s">
        <v>1268</v>
      </c>
      <c r="G15" s="110" t="s">
        <v>1271</v>
      </c>
      <c r="H15" s="111">
        <v>1</v>
      </c>
      <c r="I15" s="111">
        <v>10</v>
      </c>
      <c r="J15" s="112">
        <v>200</v>
      </c>
      <c r="K15" s="112">
        <v>10</v>
      </c>
      <c r="L15" s="112">
        <v>50</v>
      </c>
      <c r="N15" s="1">
        <v>12441.3</v>
      </c>
      <c r="O15" s="1">
        <v>0</v>
      </c>
      <c r="P15" s="1">
        <v>404.8</v>
      </c>
      <c r="Q15" s="1">
        <v>704.1</v>
      </c>
      <c r="R15" s="1">
        <v>228.2</v>
      </c>
      <c r="S15" s="1"/>
      <c r="T15" s="1"/>
    </row>
    <row r="16" spans="1:24" ht="15.75" customHeight="1">
      <c r="A16" s="110" t="s">
        <v>28</v>
      </c>
      <c r="B16" s="110" t="s">
        <v>591</v>
      </c>
      <c r="C16" s="112">
        <v>4</v>
      </c>
      <c r="D16" s="127">
        <f t="shared" si="0"/>
        <v>4.2</v>
      </c>
      <c r="E16" s="114" t="s">
        <v>692</v>
      </c>
      <c r="F16" s="112" t="s">
        <v>1268</v>
      </c>
      <c r="G16" s="110" t="s">
        <v>1271</v>
      </c>
      <c r="H16" s="111">
        <v>1</v>
      </c>
      <c r="I16" s="111">
        <v>10</v>
      </c>
      <c r="J16" s="112">
        <v>200</v>
      </c>
      <c r="K16" s="112">
        <v>10</v>
      </c>
      <c r="L16" s="112">
        <v>50</v>
      </c>
      <c r="N16" s="1">
        <v>13288.6</v>
      </c>
      <c r="O16" s="1">
        <v>0</v>
      </c>
      <c r="P16" s="1">
        <v>366.4</v>
      </c>
      <c r="Q16" s="1">
        <v>889.9</v>
      </c>
      <c r="R16" s="1">
        <v>164</v>
      </c>
      <c r="S16" s="1"/>
      <c r="T16" s="1"/>
    </row>
    <row r="17" spans="1:21" ht="15.75" customHeight="1">
      <c r="A17" s="110" t="s">
        <v>29</v>
      </c>
      <c r="B17" s="110" t="s">
        <v>591</v>
      </c>
      <c r="C17" s="112">
        <v>4</v>
      </c>
      <c r="D17" s="127">
        <f t="shared" si="0"/>
        <v>4.2</v>
      </c>
      <c r="E17" s="114" t="s">
        <v>692</v>
      </c>
      <c r="F17" s="112" t="s">
        <v>1121</v>
      </c>
      <c r="G17" s="110" t="s">
        <v>1271</v>
      </c>
      <c r="H17" s="111">
        <v>1</v>
      </c>
      <c r="I17" s="111">
        <v>10</v>
      </c>
      <c r="J17" s="112">
        <v>200</v>
      </c>
      <c r="K17" s="112">
        <v>10</v>
      </c>
      <c r="L17" s="112">
        <v>50</v>
      </c>
      <c r="N17" s="1">
        <v>14235</v>
      </c>
      <c r="O17" s="1">
        <v>0</v>
      </c>
      <c r="P17" s="1">
        <v>376.3</v>
      </c>
      <c r="Q17" s="1">
        <v>1185.8</v>
      </c>
      <c r="R17" s="1">
        <v>114.9</v>
      </c>
      <c r="S17" s="1"/>
      <c r="T17" s="1"/>
    </row>
    <row r="18" spans="1:21" ht="15.75" customHeight="1">
      <c r="A18" s="110" t="s">
        <v>30</v>
      </c>
      <c r="B18" s="110" t="s">
        <v>591</v>
      </c>
      <c r="C18" s="112">
        <v>4</v>
      </c>
      <c r="D18" s="127">
        <f t="shared" si="0"/>
        <v>4.2</v>
      </c>
      <c r="E18" s="114" t="s">
        <v>692</v>
      </c>
      <c r="F18" s="112" t="s">
        <v>1121</v>
      </c>
      <c r="G18" s="110" t="s">
        <v>1271</v>
      </c>
      <c r="H18" s="111">
        <v>1</v>
      </c>
      <c r="I18" s="111">
        <v>10</v>
      </c>
      <c r="J18" s="112">
        <v>200</v>
      </c>
      <c r="K18" s="112">
        <v>10</v>
      </c>
      <c r="L18" s="112">
        <v>50</v>
      </c>
      <c r="N18" s="1">
        <v>13792.5</v>
      </c>
      <c r="O18" s="1">
        <v>0</v>
      </c>
      <c r="P18" s="1">
        <v>370.5</v>
      </c>
      <c r="Q18" s="1">
        <v>1131.2</v>
      </c>
      <c r="R18" s="1">
        <v>108.9</v>
      </c>
      <c r="S18" s="1"/>
      <c r="T18" s="1"/>
    </row>
    <row r="19" spans="1:21" ht="15.75" customHeight="1">
      <c r="A19" s="110" t="s">
        <v>31</v>
      </c>
      <c r="B19" s="110" t="s">
        <v>591</v>
      </c>
      <c r="C19" s="112">
        <v>4</v>
      </c>
      <c r="D19" s="127">
        <f t="shared" si="0"/>
        <v>4.2</v>
      </c>
      <c r="E19" s="114" t="s">
        <v>692</v>
      </c>
      <c r="F19" s="112" t="s">
        <v>1121</v>
      </c>
      <c r="G19" s="110" t="s">
        <v>1271</v>
      </c>
      <c r="H19" s="111">
        <v>1</v>
      </c>
      <c r="I19" s="111">
        <v>10</v>
      </c>
      <c r="J19" s="112">
        <v>200</v>
      </c>
      <c r="K19" s="112">
        <v>10</v>
      </c>
      <c r="L19" s="112">
        <v>50</v>
      </c>
      <c r="N19" s="1">
        <v>13455.6</v>
      </c>
      <c r="O19" s="1">
        <v>0</v>
      </c>
      <c r="P19" s="1">
        <v>354.4</v>
      </c>
      <c r="Q19" s="1">
        <v>1182.8</v>
      </c>
      <c r="R19" s="1">
        <v>84</v>
      </c>
      <c r="S19" s="1"/>
      <c r="T19" s="1"/>
    </row>
    <row r="20" spans="1:21" ht="15.75" customHeight="1">
      <c r="A20" s="114"/>
      <c r="P20" s="1"/>
      <c r="R20" s="1"/>
      <c r="S20" s="1"/>
      <c r="T20" s="1"/>
    </row>
    <row r="21" spans="1:21" ht="15.75" customHeight="1">
      <c r="A21" s="114"/>
      <c r="B21" s="114" t="s">
        <v>300</v>
      </c>
      <c r="C21" s="127">
        <f>SUM(C5:C20)</f>
        <v>60</v>
      </c>
      <c r="I21" s="1" t="s">
        <v>300</v>
      </c>
      <c r="J21">
        <f>SUM(J5:J20)</f>
        <v>3000</v>
      </c>
      <c r="P21" s="1"/>
      <c r="R21" s="1"/>
      <c r="S21" s="1"/>
      <c r="T21" s="1"/>
    </row>
    <row r="22" spans="1:21" ht="15.75" customHeight="1">
      <c r="A22" s="114"/>
      <c r="P22" s="1"/>
      <c r="R22" s="1"/>
      <c r="S22" s="1"/>
      <c r="T22" s="1"/>
    </row>
    <row r="23" spans="1:21" ht="15.75" customHeight="1">
      <c r="A23" s="125" t="s">
        <v>1040</v>
      </c>
      <c r="B23" s="1" t="s">
        <v>1041</v>
      </c>
      <c r="D23" s="1" t="s">
        <v>1272</v>
      </c>
      <c r="J23" s="125" t="s">
        <v>968</v>
      </c>
      <c r="K23" s="114"/>
      <c r="L23" s="114"/>
      <c r="P23" s="1"/>
      <c r="R23" s="1"/>
      <c r="S23" s="1"/>
      <c r="T23" s="1"/>
    </row>
    <row r="24" spans="1:21" ht="15.75" customHeight="1">
      <c r="A24" s="1" t="s">
        <v>1273</v>
      </c>
      <c r="D24" s="1" t="s">
        <v>1274</v>
      </c>
      <c r="J24" s="114" t="s">
        <v>970</v>
      </c>
      <c r="K24" s="114" t="s">
        <v>47</v>
      </c>
      <c r="L24" s="114" t="s">
        <v>300</v>
      </c>
      <c r="P24" s="1"/>
      <c r="R24" s="1"/>
      <c r="S24" s="1"/>
      <c r="T24" s="1"/>
    </row>
    <row r="25" spans="1:21" ht="15.75" customHeight="1">
      <c r="A25" s="1" t="s">
        <v>1275</v>
      </c>
      <c r="D25" s="1" t="s">
        <v>1276</v>
      </c>
      <c r="I25" s="1" t="s">
        <v>1237</v>
      </c>
      <c r="J25" s="125" t="s">
        <v>301</v>
      </c>
      <c r="K25" s="126">
        <v>0.3</v>
      </c>
      <c r="P25" s="1"/>
      <c r="R25" s="1"/>
      <c r="S25" s="1"/>
      <c r="T25" s="1"/>
    </row>
    <row r="26" spans="1:21" ht="15.75" customHeight="1">
      <c r="A26" s="1" t="s">
        <v>1277</v>
      </c>
      <c r="D26" s="1" t="s">
        <v>1278</v>
      </c>
      <c r="J26" s="112">
        <v>1000</v>
      </c>
      <c r="K26" s="127">
        <f>J26/K25-J26</f>
        <v>2333.3333333333335</v>
      </c>
      <c r="L26" s="127">
        <f>SUM(J26:K26)</f>
        <v>3333.3333333333335</v>
      </c>
      <c r="P26" s="1"/>
      <c r="R26" s="1"/>
      <c r="S26" s="1"/>
      <c r="T26" s="1"/>
    </row>
    <row r="27" spans="1:21" ht="15.75" customHeight="1">
      <c r="A27" s="1" t="s">
        <v>1279</v>
      </c>
      <c r="D27" s="1" t="s">
        <v>1280</v>
      </c>
      <c r="I27" s="1"/>
      <c r="J27" s="168"/>
      <c r="K27" s="112"/>
      <c r="L27" s="127"/>
    </row>
    <row r="28" spans="1:21" ht="15.75" customHeight="1">
      <c r="A28" s="1" t="s">
        <v>1281</v>
      </c>
      <c r="D28" s="1" t="s">
        <v>1282</v>
      </c>
      <c r="J28" s="112"/>
      <c r="L28" s="127"/>
      <c r="N28" s="1"/>
      <c r="O28" s="1"/>
    </row>
    <row r="29" spans="1:21" ht="15.75" customHeight="1">
      <c r="A29" s="1" t="s">
        <v>1283</v>
      </c>
      <c r="D29" s="1" t="s">
        <v>1284</v>
      </c>
      <c r="I29" s="1"/>
      <c r="J29" s="5"/>
      <c r="K29" s="1"/>
      <c r="N29" s="1"/>
      <c r="O29" s="1"/>
      <c r="P29" s="1"/>
    </row>
    <row r="30" spans="1:21" ht="15.75" customHeight="1">
      <c r="A30" s="1" t="s">
        <v>1285</v>
      </c>
      <c r="J30" s="112"/>
      <c r="K30" s="127"/>
      <c r="L30" s="127"/>
      <c r="O30" s="1"/>
      <c r="P30" s="1"/>
      <c r="Q30" s="1"/>
      <c r="R30" s="1"/>
      <c r="T30" s="1"/>
      <c r="U30" s="1"/>
    </row>
    <row r="31" spans="1:21" ht="15.75" customHeight="1">
      <c r="A31" s="1" t="s">
        <v>1286</v>
      </c>
      <c r="I31" s="1"/>
      <c r="J31" s="5"/>
      <c r="K31" s="1"/>
      <c r="O31" s="1"/>
      <c r="P31" s="1"/>
      <c r="Q31" s="1"/>
      <c r="R31" s="1"/>
      <c r="T31" s="1"/>
      <c r="U31" s="1"/>
    </row>
    <row r="32" spans="1:21" ht="15.75" customHeight="1">
      <c r="A32" s="1" t="s">
        <v>1287</v>
      </c>
      <c r="J32" s="112"/>
      <c r="K32" s="127"/>
      <c r="L32" s="127"/>
      <c r="O32" s="1"/>
      <c r="P32" s="1"/>
      <c r="Q32" s="1"/>
      <c r="R32" s="1"/>
      <c r="U32" s="1"/>
    </row>
    <row r="33" spans="11:24" ht="15.75" customHeight="1">
      <c r="O33" s="1"/>
      <c r="P33" s="1"/>
      <c r="Q33" s="1"/>
      <c r="R33" s="1"/>
      <c r="U33" s="1"/>
    </row>
    <row r="34" spans="11:24" ht="15.75" customHeight="1">
      <c r="K34" s="127"/>
      <c r="O34" s="1"/>
      <c r="P34" s="1"/>
      <c r="Q34" s="1"/>
      <c r="R34" s="1"/>
      <c r="U34" s="1"/>
    </row>
    <row r="35" spans="11:24" ht="15.75" customHeight="1">
      <c r="Q35" s="1"/>
      <c r="R35" s="1"/>
      <c r="T35" s="1"/>
      <c r="U35" s="1"/>
    </row>
    <row r="36" spans="11:24" ht="15.75" customHeight="1">
      <c r="Q36" s="1"/>
      <c r="R36" s="1"/>
      <c r="T36" s="1"/>
      <c r="U36" s="1"/>
    </row>
    <row r="37" spans="11:24" ht="15.75" customHeight="1">
      <c r="Q37" s="114"/>
      <c r="R37" s="1"/>
      <c r="T37" s="1"/>
      <c r="U37" s="1"/>
    </row>
    <row r="38" spans="11:24" ht="15.75" customHeight="1">
      <c r="Q38" s="114"/>
      <c r="T38" s="1"/>
      <c r="U38" s="1"/>
    </row>
    <row r="39" spans="11:24" ht="12.75">
      <c r="Q39" s="114"/>
      <c r="T39" s="1"/>
      <c r="U39" s="1"/>
    </row>
    <row r="40" spans="11:24" ht="12.75">
      <c r="Q40" s="114"/>
      <c r="T40" s="1"/>
      <c r="U40" s="1"/>
    </row>
    <row r="41" spans="11:24" ht="12.75">
      <c r="Q41" s="110"/>
      <c r="T41" s="1"/>
      <c r="U41" s="1"/>
    </row>
    <row r="42" spans="11:24" ht="12.75">
      <c r="Q42" s="110"/>
      <c r="T42" s="1"/>
      <c r="U42" s="1"/>
    </row>
    <row r="43" spans="11:24" ht="12.75">
      <c r="Q43" s="110"/>
      <c r="T43" s="1"/>
      <c r="U43" s="1"/>
    </row>
    <row r="44" spans="11:24" ht="12.75">
      <c r="Q44" s="110"/>
      <c r="T44" s="1"/>
      <c r="U44" s="1"/>
    </row>
    <row r="45" spans="11:24" ht="12.75">
      <c r="Q45" s="110"/>
      <c r="T45" s="1"/>
      <c r="U45" s="1"/>
    </row>
    <row r="46" spans="11:24" ht="12.75">
      <c r="Q46" s="110"/>
      <c r="U46" s="1"/>
      <c r="X46" s="1"/>
    </row>
    <row r="47" spans="11:24" ht="12.75">
      <c r="Q47" s="110"/>
      <c r="T47" s="1"/>
      <c r="U47" s="1"/>
    </row>
    <row r="48" spans="11:24" ht="12.75">
      <c r="Q48" s="110"/>
      <c r="U48" s="1"/>
    </row>
    <row r="49" spans="17:21" ht="12.75">
      <c r="Q49" s="110"/>
      <c r="T49" s="1"/>
      <c r="U49" s="1"/>
    </row>
    <row r="50" spans="17:21" ht="12.75">
      <c r="Q50" s="110"/>
      <c r="U50" s="1"/>
    </row>
    <row r="51" spans="17:21" ht="12.75">
      <c r="Q51" s="110"/>
      <c r="U51" s="1"/>
    </row>
    <row r="52" spans="17:21" ht="12.75">
      <c r="Q52" s="110"/>
      <c r="U52" s="1"/>
    </row>
    <row r="53" spans="17:21" ht="12.75">
      <c r="Q53" s="110"/>
    </row>
    <row r="54" spans="17:21" ht="12.75">
      <c r="Q54" s="110"/>
    </row>
    <row r="55" spans="17:21" ht="12.75">
      <c r="Q55" s="1"/>
      <c r="R55" s="1"/>
      <c r="U55" s="1"/>
    </row>
    <row r="56" spans="17:21" ht="12.75">
      <c r="Q56" s="1"/>
      <c r="R56" s="1"/>
      <c r="U56" s="1"/>
    </row>
    <row r="57" spans="17:21" ht="12.75">
      <c r="Q57" s="1"/>
      <c r="R57" s="1"/>
      <c r="T57" s="1"/>
    </row>
    <row r="58" spans="17:21" ht="12.75">
      <c r="Q58" s="1"/>
      <c r="R58" s="1"/>
      <c r="U58" s="1"/>
    </row>
    <row r="59" spans="17:21" ht="12.75">
      <c r="Q59" s="1"/>
      <c r="R59" s="1"/>
    </row>
    <row r="60" spans="17:21" ht="12.75">
      <c r="Q60" s="1"/>
      <c r="R60" s="1"/>
      <c r="U60" s="1"/>
    </row>
    <row r="61" spans="17:21" ht="12.75">
      <c r="Q61" s="1"/>
      <c r="R61" s="1"/>
      <c r="U61" s="1"/>
    </row>
    <row r="62" spans="17:21" ht="12.75">
      <c r="Q62" s="1"/>
      <c r="R62" s="1"/>
      <c r="U62" s="1"/>
    </row>
    <row r="63" spans="17:21" ht="12.75">
      <c r="Q63" s="114"/>
      <c r="R63" s="1"/>
    </row>
    <row r="64" spans="17:21" ht="12.75">
      <c r="Q64" s="114"/>
      <c r="T64" s="1"/>
    </row>
    <row r="65" spans="17:24" ht="12.75">
      <c r="Q65" s="114"/>
      <c r="T65" s="1"/>
      <c r="U65" s="1"/>
    </row>
    <row r="66" spans="17:24" ht="12.75">
      <c r="Q66" s="114"/>
      <c r="U66" s="1"/>
    </row>
    <row r="67" spans="17:24" ht="12.75">
      <c r="Q67" s="110"/>
      <c r="T67" s="1"/>
      <c r="U67" s="1"/>
    </row>
    <row r="68" spans="17:24" ht="12.75">
      <c r="Q68" s="110"/>
      <c r="U68" s="1"/>
    </row>
    <row r="69" spans="17:24" ht="12.75">
      <c r="Q69" s="110"/>
      <c r="T69" s="1"/>
      <c r="U69" s="1"/>
    </row>
    <row r="70" spans="17:24" ht="12.75">
      <c r="Q70" s="110"/>
    </row>
    <row r="71" spans="17:24" ht="12.75">
      <c r="Q71" s="110"/>
      <c r="U71" s="1"/>
    </row>
    <row r="72" spans="17:24" ht="12.75">
      <c r="Q72" s="110"/>
      <c r="T72" s="1"/>
      <c r="U72" s="1"/>
    </row>
    <row r="73" spans="17:24" ht="12.75">
      <c r="Q73" s="110"/>
      <c r="U73" s="1"/>
    </row>
    <row r="74" spans="17:24" ht="12.75">
      <c r="Q74" s="110"/>
    </row>
    <row r="75" spans="17:24" ht="12.75">
      <c r="Q75" s="110"/>
      <c r="V75" s="1"/>
      <c r="X75" s="1"/>
    </row>
    <row r="76" spans="17:24" ht="12.75">
      <c r="Q76" s="110"/>
    </row>
    <row r="77" spans="17:24" ht="12.75">
      <c r="Q77" s="110"/>
      <c r="U77" s="1"/>
    </row>
    <row r="78" spans="17:24" ht="12.75">
      <c r="Q78" s="110"/>
    </row>
    <row r="79" spans="17:24" ht="12.75">
      <c r="Q79" s="110"/>
      <c r="U79" s="1"/>
    </row>
    <row r="80" spans="17:24" ht="12.75">
      <c r="Q80" s="110"/>
      <c r="U80" s="1"/>
    </row>
    <row r="81" spans="17:21" ht="12.75">
      <c r="Q81" s="1"/>
      <c r="R81" s="1"/>
    </row>
    <row r="82" spans="17:21" ht="12.75">
      <c r="Q82" s="1"/>
      <c r="R82" s="1"/>
    </row>
    <row r="83" spans="17:21" ht="12.75">
      <c r="Q83" s="1"/>
      <c r="R83" s="1"/>
      <c r="U83" s="1"/>
    </row>
    <row r="84" spans="17:21" ht="12.75">
      <c r="Q84" s="1"/>
      <c r="R84" s="1"/>
      <c r="U84" s="1"/>
    </row>
    <row r="85" spans="17:21" ht="12.75">
      <c r="Q85" s="1"/>
      <c r="R85" s="1"/>
      <c r="U85" s="1"/>
    </row>
    <row r="86" spans="17:21" ht="12.75">
      <c r="Q86" s="1"/>
      <c r="R86" s="1"/>
      <c r="U86" s="1"/>
    </row>
    <row r="87" spans="17:21" ht="12.75">
      <c r="Q87" s="1"/>
      <c r="R87" s="1"/>
      <c r="T87" s="1"/>
      <c r="U87" s="1"/>
    </row>
    <row r="88" spans="17:21" ht="12.75">
      <c r="Q88" s="1"/>
      <c r="R88" s="1"/>
      <c r="U88" s="1"/>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0"/>
  <sheetViews>
    <sheetView workbookViewId="0"/>
  </sheetViews>
  <sheetFormatPr defaultColWidth="14.42578125" defaultRowHeight="15.75" customHeight="1"/>
  <sheetData>
    <row r="1" spans="1:22" ht="12.75">
      <c r="A1" s="114" t="s">
        <v>1</v>
      </c>
      <c r="B1" s="114" t="s">
        <v>659</v>
      </c>
      <c r="C1" s="114" t="s">
        <v>660</v>
      </c>
      <c r="D1" s="114" t="s">
        <v>661</v>
      </c>
      <c r="E1" s="114" t="s">
        <v>1032</v>
      </c>
      <c r="F1" s="110" t="s">
        <v>1033</v>
      </c>
      <c r="G1" s="114" t="s">
        <v>97</v>
      </c>
      <c r="H1" s="114" t="s">
        <v>664</v>
      </c>
      <c r="I1" s="114" t="s">
        <v>665</v>
      </c>
      <c r="J1" s="114" t="s">
        <v>666</v>
      </c>
      <c r="K1" s="114" t="s">
        <v>667</v>
      </c>
      <c r="N1" s="1" t="s">
        <v>6</v>
      </c>
      <c r="O1" s="1" t="s">
        <v>7</v>
      </c>
      <c r="P1" s="1" t="s">
        <v>8</v>
      </c>
      <c r="Q1" s="1" t="s">
        <v>9</v>
      </c>
      <c r="R1" s="1" t="s">
        <v>10</v>
      </c>
      <c r="T1" s="166"/>
      <c r="U1" s="166"/>
      <c r="V1" s="166"/>
    </row>
    <row r="2" spans="1:22" ht="12.75">
      <c r="A2" s="114" t="s">
        <v>962</v>
      </c>
      <c r="B2" s="114"/>
      <c r="C2" s="114"/>
      <c r="D2" s="114"/>
      <c r="E2" s="114"/>
      <c r="F2" s="114"/>
      <c r="G2" s="114"/>
      <c r="H2" s="114"/>
      <c r="I2" s="114"/>
      <c r="K2" s="114"/>
      <c r="T2" s="166"/>
      <c r="U2" s="166"/>
      <c r="V2" s="176"/>
    </row>
    <row r="3" spans="1:22" ht="12.75">
      <c r="A3" s="114" t="s">
        <v>17</v>
      </c>
      <c r="B3" s="167" t="s">
        <v>591</v>
      </c>
      <c r="C3" s="111">
        <v>4</v>
      </c>
      <c r="D3" s="127">
        <f t="shared" ref="D3:D32" si="0">C3+I3/1000</f>
        <v>4.2</v>
      </c>
      <c r="E3" s="114" t="s">
        <v>692</v>
      </c>
      <c r="F3" s="112" t="s">
        <v>1288</v>
      </c>
      <c r="G3" s="111">
        <v>1</v>
      </c>
      <c r="H3" s="111">
        <v>10</v>
      </c>
      <c r="I3" s="112">
        <v>200</v>
      </c>
      <c r="J3" s="112">
        <v>10</v>
      </c>
      <c r="K3" s="112">
        <v>50</v>
      </c>
      <c r="L3" s="114"/>
      <c r="M3" s="114" t="s">
        <v>17</v>
      </c>
      <c r="N3" s="1">
        <v>12923.2</v>
      </c>
      <c r="O3" s="1"/>
      <c r="P3" s="1">
        <v>377.2</v>
      </c>
      <c r="Q3" s="1">
        <v>1226.7</v>
      </c>
      <c r="R3" s="1">
        <v>48.6</v>
      </c>
    </row>
    <row r="4" spans="1:22" ht="12.75">
      <c r="A4" s="114" t="s">
        <v>18</v>
      </c>
      <c r="B4" s="167" t="s">
        <v>591</v>
      </c>
      <c r="C4" s="111">
        <v>4</v>
      </c>
      <c r="D4" s="127">
        <f t="shared" si="0"/>
        <v>4.2</v>
      </c>
      <c r="E4" s="114" t="s">
        <v>692</v>
      </c>
      <c r="F4" s="112" t="s">
        <v>1288</v>
      </c>
      <c r="G4" s="111">
        <v>1</v>
      </c>
      <c r="H4" s="111">
        <v>10</v>
      </c>
      <c r="I4" s="112">
        <v>200</v>
      </c>
      <c r="J4" s="112">
        <v>10</v>
      </c>
      <c r="K4" s="112">
        <v>50</v>
      </c>
      <c r="L4" s="114"/>
      <c r="M4" s="114" t="s">
        <v>18</v>
      </c>
      <c r="N4" s="1">
        <v>13302</v>
      </c>
      <c r="O4" s="1"/>
      <c r="P4" s="1">
        <v>369.3</v>
      </c>
      <c r="Q4" s="1">
        <v>1232.9000000000001</v>
      </c>
      <c r="R4" s="1">
        <v>52.5</v>
      </c>
    </row>
    <row r="5" spans="1:22" ht="12.75">
      <c r="A5" s="114" t="s">
        <v>19</v>
      </c>
      <c r="B5" s="167" t="s">
        <v>591</v>
      </c>
      <c r="C5" s="111">
        <v>4</v>
      </c>
      <c r="D5" s="127">
        <f t="shared" si="0"/>
        <v>4.2</v>
      </c>
      <c r="E5" s="114" t="s">
        <v>692</v>
      </c>
      <c r="F5" s="112" t="s">
        <v>1288</v>
      </c>
      <c r="G5" s="111">
        <v>1</v>
      </c>
      <c r="H5" s="111">
        <v>10</v>
      </c>
      <c r="I5" s="112">
        <v>200</v>
      </c>
      <c r="J5" s="112">
        <v>10</v>
      </c>
      <c r="K5" s="112">
        <v>50</v>
      </c>
      <c r="L5" s="114"/>
      <c r="M5" s="114" t="s">
        <v>19</v>
      </c>
      <c r="N5" s="1">
        <v>12507.2</v>
      </c>
      <c r="P5" s="1">
        <v>365.2</v>
      </c>
      <c r="Q5" s="1">
        <v>1170.5</v>
      </c>
      <c r="R5" s="1">
        <v>52</v>
      </c>
    </row>
    <row r="6" spans="1:22" ht="12.75">
      <c r="A6" s="114" t="s">
        <v>20</v>
      </c>
      <c r="B6" s="167" t="s">
        <v>1035</v>
      </c>
      <c r="C6" s="112">
        <v>4</v>
      </c>
      <c r="D6" s="127">
        <f t="shared" si="0"/>
        <v>4.2</v>
      </c>
      <c r="E6" s="114" t="s">
        <v>692</v>
      </c>
      <c r="F6" s="112" t="s">
        <v>1288</v>
      </c>
      <c r="G6" s="112">
        <v>1</v>
      </c>
      <c r="H6" s="111">
        <v>10</v>
      </c>
      <c r="I6" s="112">
        <v>200</v>
      </c>
      <c r="J6" s="112">
        <v>10</v>
      </c>
      <c r="K6" s="112">
        <v>50</v>
      </c>
      <c r="L6" s="114"/>
      <c r="M6" s="114" t="s">
        <v>20</v>
      </c>
      <c r="N6" s="1">
        <v>12210.3</v>
      </c>
      <c r="P6" s="1">
        <v>345.4</v>
      </c>
      <c r="Q6" s="1">
        <v>1298.0999999999999</v>
      </c>
      <c r="R6" s="1">
        <v>0</v>
      </c>
    </row>
    <row r="7" spans="1:22" ht="12.75">
      <c r="A7" s="114" t="s">
        <v>21</v>
      </c>
      <c r="B7" s="167" t="s">
        <v>1035</v>
      </c>
      <c r="C7" s="112">
        <v>4</v>
      </c>
      <c r="D7" s="127">
        <f t="shared" si="0"/>
        <v>4.2</v>
      </c>
      <c r="E7" s="114" t="s">
        <v>692</v>
      </c>
      <c r="F7" s="112" t="s">
        <v>1288</v>
      </c>
      <c r="G7" s="112">
        <v>1</v>
      </c>
      <c r="H7" s="111">
        <v>10</v>
      </c>
      <c r="I7" s="112">
        <v>200</v>
      </c>
      <c r="J7" s="112">
        <v>10</v>
      </c>
      <c r="K7" s="112">
        <v>50</v>
      </c>
      <c r="L7" s="114"/>
      <c r="M7" s="114" t="s">
        <v>21</v>
      </c>
      <c r="N7" s="1">
        <v>12050.9</v>
      </c>
      <c r="O7" s="1"/>
      <c r="P7" s="1">
        <v>341.2</v>
      </c>
      <c r="Q7" s="1">
        <v>1285.5999999999999</v>
      </c>
      <c r="R7" s="1">
        <v>18.100000000000001</v>
      </c>
    </row>
    <row r="8" spans="1:22" ht="12.75">
      <c r="A8" s="114" t="s">
        <v>22</v>
      </c>
      <c r="B8" s="167" t="s">
        <v>1035</v>
      </c>
      <c r="C8" s="112">
        <v>4</v>
      </c>
      <c r="D8" s="127">
        <f t="shared" si="0"/>
        <v>4.2</v>
      </c>
      <c r="E8" s="114" t="s">
        <v>692</v>
      </c>
      <c r="F8" s="112" t="s">
        <v>1288</v>
      </c>
      <c r="G8" s="112">
        <v>1</v>
      </c>
      <c r="H8" s="111">
        <v>10</v>
      </c>
      <c r="I8" s="112">
        <v>200</v>
      </c>
      <c r="J8" s="112">
        <v>10</v>
      </c>
      <c r="K8" s="112">
        <v>50</v>
      </c>
      <c r="L8" s="114"/>
      <c r="M8" s="114" t="s">
        <v>22</v>
      </c>
      <c r="N8" s="1">
        <v>12038.9</v>
      </c>
      <c r="O8" s="1"/>
      <c r="P8" s="1">
        <v>338.3</v>
      </c>
      <c r="Q8" s="1">
        <v>1277.5</v>
      </c>
      <c r="R8" s="1">
        <v>16.7</v>
      </c>
    </row>
    <row r="9" spans="1:22" ht="12.75">
      <c r="A9" s="110" t="s">
        <v>23</v>
      </c>
      <c r="B9" s="167" t="s">
        <v>591</v>
      </c>
      <c r="C9" s="112">
        <v>4</v>
      </c>
      <c r="D9" s="127">
        <f t="shared" si="0"/>
        <v>4.2</v>
      </c>
      <c r="E9" s="114" t="s">
        <v>692</v>
      </c>
      <c r="F9" s="112" t="s">
        <v>1289</v>
      </c>
      <c r="G9" s="112">
        <v>1</v>
      </c>
      <c r="H9" s="111">
        <v>10</v>
      </c>
      <c r="I9" s="112">
        <v>200</v>
      </c>
      <c r="J9" s="112">
        <v>10</v>
      </c>
      <c r="K9" s="112">
        <v>50</v>
      </c>
      <c r="L9" s="110"/>
      <c r="M9" s="110" t="s">
        <v>23</v>
      </c>
      <c r="N9" s="1">
        <v>12650.4</v>
      </c>
      <c r="P9" s="1">
        <v>358</v>
      </c>
      <c r="Q9" s="1">
        <v>1081.7</v>
      </c>
      <c r="R9" s="1">
        <v>72.900000000000006</v>
      </c>
    </row>
    <row r="10" spans="1:22" ht="12.75">
      <c r="A10" s="110" t="s">
        <v>24</v>
      </c>
      <c r="B10" s="167" t="s">
        <v>591</v>
      </c>
      <c r="C10" s="112">
        <v>4</v>
      </c>
      <c r="D10" s="127">
        <f t="shared" si="0"/>
        <v>4.2</v>
      </c>
      <c r="E10" s="114" t="s">
        <v>692</v>
      </c>
      <c r="F10" s="112" t="s">
        <v>1289</v>
      </c>
      <c r="G10" s="112">
        <v>1</v>
      </c>
      <c r="H10" s="111">
        <v>10</v>
      </c>
      <c r="I10" s="112">
        <v>200</v>
      </c>
      <c r="J10" s="112">
        <v>10</v>
      </c>
      <c r="K10" s="112">
        <v>50</v>
      </c>
      <c r="L10" s="110"/>
      <c r="M10" s="110" t="s">
        <v>24</v>
      </c>
      <c r="N10" s="1">
        <v>12476.9</v>
      </c>
      <c r="P10" s="1">
        <v>401.9</v>
      </c>
      <c r="Q10" s="1">
        <v>984.5</v>
      </c>
      <c r="R10" s="1">
        <v>94</v>
      </c>
    </row>
    <row r="11" spans="1:22" ht="12.75">
      <c r="A11" s="110" t="s">
        <v>25</v>
      </c>
      <c r="B11" s="167" t="s">
        <v>591</v>
      </c>
      <c r="C11" s="112">
        <v>4</v>
      </c>
      <c r="D11" s="127">
        <f t="shared" si="0"/>
        <v>4.2</v>
      </c>
      <c r="E11" s="114" t="s">
        <v>692</v>
      </c>
      <c r="F11" s="112" t="s">
        <v>1289</v>
      </c>
      <c r="G11" s="112">
        <v>1</v>
      </c>
      <c r="H11" s="111">
        <v>10</v>
      </c>
      <c r="I11" s="112">
        <v>200</v>
      </c>
      <c r="J11" s="112">
        <v>10</v>
      </c>
      <c r="K11" s="112">
        <v>50</v>
      </c>
      <c r="L11" s="110"/>
      <c r="M11" s="110" t="s">
        <v>25</v>
      </c>
      <c r="N11" s="1">
        <v>12517.7</v>
      </c>
      <c r="P11" s="1">
        <v>380.3</v>
      </c>
      <c r="Q11" s="1">
        <v>979</v>
      </c>
      <c r="R11" s="1">
        <v>99.5</v>
      </c>
    </row>
    <row r="12" spans="1:22" ht="12.75">
      <c r="A12" s="110" t="s">
        <v>26</v>
      </c>
      <c r="B12" s="167" t="s">
        <v>1035</v>
      </c>
      <c r="C12" s="112">
        <v>4</v>
      </c>
      <c r="D12" s="127">
        <f t="shared" si="0"/>
        <v>4.2</v>
      </c>
      <c r="E12" s="114" t="s">
        <v>692</v>
      </c>
      <c r="F12" s="112" t="s">
        <v>1289</v>
      </c>
      <c r="G12" s="112">
        <v>1</v>
      </c>
      <c r="H12" s="111">
        <v>10</v>
      </c>
      <c r="I12" s="112">
        <v>200</v>
      </c>
      <c r="J12" s="112">
        <v>10</v>
      </c>
      <c r="K12" s="112">
        <v>50</v>
      </c>
      <c r="L12" s="110"/>
      <c r="M12" s="110" t="s">
        <v>26</v>
      </c>
      <c r="N12" s="1">
        <v>11711.6</v>
      </c>
      <c r="O12" s="1"/>
      <c r="P12" s="1">
        <v>345.5</v>
      </c>
      <c r="Q12" s="1">
        <v>1199.9000000000001</v>
      </c>
      <c r="R12" s="1">
        <v>34.299999999999997</v>
      </c>
    </row>
    <row r="13" spans="1:22" ht="12.75">
      <c r="A13" s="110" t="s">
        <v>27</v>
      </c>
      <c r="B13" s="167" t="s">
        <v>1035</v>
      </c>
      <c r="C13" s="112">
        <v>4</v>
      </c>
      <c r="D13" s="127">
        <f t="shared" si="0"/>
        <v>4.2</v>
      </c>
      <c r="E13" s="114" t="s">
        <v>692</v>
      </c>
      <c r="F13" s="112" t="s">
        <v>1289</v>
      </c>
      <c r="G13" s="112">
        <v>1</v>
      </c>
      <c r="H13" s="111">
        <v>10</v>
      </c>
      <c r="I13" s="112">
        <v>200</v>
      </c>
      <c r="J13" s="112">
        <v>10</v>
      </c>
      <c r="K13" s="112">
        <v>50</v>
      </c>
      <c r="L13" s="110"/>
      <c r="M13" s="110" t="s">
        <v>27</v>
      </c>
      <c r="N13" s="1">
        <v>11610.8</v>
      </c>
      <c r="O13" s="1"/>
      <c r="P13" s="1">
        <v>348.9</v>
      </c>
      <c r="Q13" s="1">
        <v>1190.2</v>
      </c>
      <c r="R13" s="1">
        <v>33.6</v>
      </c>
    </row>
    <row r="14" spans="1:22" ht="12.75">
      <c r="A14" s="110" t="s">
        <v>28</v>
      </c>
      <c r="B14" s="167" t="s">
        <v>1035</v>
      </c>
      <c r="C14" s="112">
        <v>4</v>
      </c>
      <c r="D14" s="127">
        <f t="shared" si="0"/>
        <v>4.2</v>
      </c>
      <c r="E14" s="114" t="s">
        <v>692</v>
      </c>
      <c r="F14" s="112" t="s">
        <v>1289</v>
      </c>
      <c r="G14" s="112">
        <v>1</v>
      </c>
      <c r="H14" s="111">
        <v>10</v>
      </c>
      <c r="I14" s="112">
        <v>200</v>
      </c>
      <c r="J14" s="112">
        <v>10</v>
      </c>
      <c r="K14" s="112">
        <v>50</v>
      </c>
      <c r="L14" s="110"/>
      <c r="M14" s="110" t="s">
        <v>28</v>
      </c>
      <c r="N14" s="1">
        <v>11503</v>
      </c>
      <c r="O14" s="1"/>
      <c r="P14" s="1">
        <v>349.5</v>
      </c>
      <c r="Q14" s="1">
        <v>1184.2</v>
      </c>
      <c r="R14" s="1">
        <v>34</v>
      </c>
    </row>
    <row r="15" spans="1:22" ht="12.75">
      <c r="A15" s="110" t="s">
        <v>29</v>
      </c>
      <c r="B15" s="167" t="s">
        <v>591</v>
      </c>
      <c r="C15" s="112">
        <v>4</v>
      </c>
      <c r="D15" s="127">
        <f t="shared" si="0"/>
        <v>4.2</v>
      </c>
      <c r="E15" s="114" t="s">
        <v>692</v>
      </c>
      <c r="F15" s="112" t="s">
        <v>1290</v>
      </c>
      <c r="G15" s="112">
        <v>1</v>
      </c>
      <c r="H15" s="111">
        <v>10</v>
      </c>
      <c r="I15" s="112">
        <v>200</v>
      </c>
      <c r="J15" s="112">
        <v>10</v>
      </c>
      <c r="K15" s="112">
        <v>50</v>
      </c>
      <c r="L15" s="110"/>
      <c r="M15" s="110" t="s">
        <v>29</v>
      </c>
      <c r="N15" s="1">
        <v>12140.6</v>
      </c>
      <c r="P15" s="1">
        <v>376.7</v>
      </c>
      <c r="Q15" s="1">
        <v>861.1</v>
      </c>
      <c r="R15" s="1">
        <v>119.5</v>
      </c>
    </row>
    <row r="16" spans="1:22" ht="12.75">
      <c r="A16" s="110" t="s">
        <v>30</v>
      </c>
      <c r="B16" s="167" t="s">
        <v>591</v>
      </c>
      <c r="C16" s="112">
        <v>4</v>
      </c>
      <c r="D16" s="127">
        <f t="shared" si="0"/>
        <v>4.2</v>
      </c>
      <c r="E16" s="114" t="s">
        <v>692</v>
      </c>
      <c r="F16" s="112" t="s">
        <v>1290</v>
      </c>
      <c r="G16" s="112">
        <v>1</v>
      </c>
      <c r="H16" s="111">
        <v>10</v>
      </c>
      <c r="I16" s="112">
        <v>200</v>
      </c>
      <c r="J16" s="112">
        <v>10</v>
      </c>
      <c r="K16" s="112">
        <v>50</v>
      </c>
      <c r="L16" s="110"/>
      <c r="M16" s="110" t="s">
        <v>30</v>
      </c>
      <c r="N16" s="1">
        <v>12623.7</v>
      </c>
      <c r="P16" s="1">
        <v>381.5</v>
      </c>
      <c r="Q16" s="1">
        <v>893.9</v>
      </c>
      <c r="R16" s="1">
        <v>121</v>
      </c>
    </row>
    <row r="17" spans="1:18" ht="12.75">
      <c r="A17" s="110" t="s">
        <v>31</v>
      </c>
      <c r="B17" s="167" t="s">
        <v>591</v>
      </c>
      <c r="C17" s="112">
        <v>4</v>
      </c>
      <c r="D17" s="127">
        <f t="shared" si="0"/>
        <v>4.2</v>
      </c>
      <c r="E17" s="114" t="s">
        <v>692</v>
      </c>
      <c r="F17" s="112" t="s">
        <v>1290</v>
      </c>
      <c r="G17" s="112">
        <v>1</v>
      </c>
      <c r="H17" s="111">
        <v>10</v>
      </c>
      <c r="I17" s="112">
        <v>200</v>
      </c>
      <c r="J17" s="112">
        <v>10</v>
      </c>
      <c r="K17" s="112">
        <v>50</v>
      </c>
      <c r="L17" s="110"/>
      <c r="M17" s="110" t="s">
        <v>31</v>
      </c>
      <c r="N17" s="1">
        <v>12186.3</v>
      </c>
      <c r="P17" s="1">
        <v>381.7</v>
      </c>
      <c r="Q17" s="1">
        <v>770.7</v>
      </c>
      <c r="R17" s="1">
        <v>142.4</v>
      </c>
    </row>
    <row r="18" spans="1:18" ht="12.75">
      <c r="A18" s="110" t="s">
        <v>32</v>
      </c>
      <c r="B18" s="167" t="s">
        <v>1035</v>
      </c>
      <c r="C18" s="112">
        <v>4</v>
      </c>
      <c r="D18" s="127">
        <f t="shared" si="0"/>
        <v>4.2</v>
      </c>
      <c r="E18" s="114" t="s">
        <v>692</v>
      </c>
      <c r="F18" s="112" t="s">
        <v>1290</v>
      </c>
      <c r="G18" s="112">
        <v>1</v>
      </c>
      <c r="H18" s="111">
        <v>10</v>
      </c>
      <c r="I18" s="112">
        <v>200</v>
      </c>
      <c r="J18" s="112">
        <v>10</v>
      </c>
      <c r="K18" s="112">
        <v>50</v>
      </c>
      <c r="L18" s="110"/>
      <c r="M18" s="110" t="s">
        <v>32</v>
      </c>
      <c r="N18" s="1">
        <v>11424.5</v>
      </c>
      <c r="P18" s="1">
        <v>359.5</v>
      </c>
      <c r="Q18" s="1">
        <v>1134.4000000000001</v>
      </c>
      <c r="R18" s="1">
        <v>45.9</v>
      </c>
    </row>
    <row r="19" spans="1:18" ht="12.75">
      <c r="A19" s="110" t="s">
        <v>34</v>
      </c>
      <c r="B19" s="167" t="s">
        <v>1035</v>
      </c>
      <c r="C19" s="112">
        <v>4</v>
      </c>
      <c r="D19" s="127">
        <f t="shared" si="0"/>
        <v>4.2</v>
      </c>
      <c r="E19" s="114" t="s">
        <v>692</v>
      </c>
      <c r="F19" s="112" t="s">
        <v>1290</v>
      </c>
      <c r="G19" s="112">
        <v>1</v>
      </c>
      <c r="H19" s="111">
        <v>10</v>
      </c>
      <c r="I19" s="112">
        <v>200</v>
      </c>
      <c r="J19" s="112">
        <v>10</v>
      </c>
      <c r="K19" s="112">
        <v>50</v>
      </c>
      <c r="L19" s="110"/>
      <c r="M19" s="110" t="s">
        <v>34</v>
      </c>
      <c r="N19" s="1">
        <v>11511.9</v>
      </c>
      <c r="P19" s="1">
        <v>357.2</v>
      </c>
      <c r="Q19" s="1">
        <v>1146.5</v>
      </c>
      <c r="R19" s="1">
        <v>44.9</v>
      </c>
    </row>
    <row r="20" spans="1:18" ht="12.75">
      <c r="A20" s="110" t="s">
        <v>36</v>
      </c>
      <c r="B20" s="167" t="s">
        <v>1035</v>
      </c>
      <c r="C20" s="112">
        <v>4</v>
      </c>
      <c r="D20" s="127">
        <f t="shared" si="0"/>
        <v>4.2</v>
      </c>
      <c r="E20" s="114" t="s">
        <v>692</v>
      </c>
      <c r="F20" s="112" t="s">
        <v>1290</v>
      </c>
      <c r="G20" s="112">
        <v>1</v>
      </c>
      <c r="H20" s="111">
        <v>10</v>
      </c>
      <c r="I20" s="112">
        <v>200</v>
      </c>
      <c r="J20" s="112">
        <v>10</v>
      </c>
      <c r="K20" s="112">
        <v>50</v>
      </c>
      <c r="L20" s="110"/>
      <c r="M20" s="110" t="s">
        <v>36</v>
      </c>
      <c r="N20" s="1">
        <v>11499.3</v>
      </c>
      <c r="P20" s="1">
        <v>364.8</v>
      </c>
      <c r="Q20" s="1">
        <v>1151.8</v>
      </c>
      <c r="R20" s="1">
        <v>44</v>
      </c>
    </row>
    <row r="21" spans="1:18" ht="12.75">
      <c r="A21" s="110" t="s">
        <v>1146</v>
      </c>
      <c r="B21" s="167" t="s">
        <v>591</v>
      </c>
      <c r="C21" s="112">
        <v>4</v>
      </c>
      <c r="D21" s="127">
        <f t="shared" si="0"/>
        <v>4.2</v>
      </c>
      <c r="E21" s="114" t="s">
        <v>692</v>
      </c>
      <c r="F21" s="8" t="s">
        <v>1291</v>
      </c>
      <c r="G21" s="112">
        <v>1</v>
      </c>
      <c r="H21" s="111">
        <v>10</v>
      </c>
      <c r="I21" s="112">
        <v>200</v>
      </c>
      <c r="J21" s="112">
        <v>10</v>
      </c>
      <c r="K21" s="112">
        <v>50</v>
      </c>
      <c r="L21" s="110"/>
      <c r="M21" s="110" t="s">
        <v>1146</v>
      </c>
      <c r="N21" s="1">
        <v>13056</v>
      </c>
      <c r="P21" s="1">
        <v>431.6</v>
      </c>
      <c r="Q21" s="1">
        <v>587.9</v>
      </c>
      <c r="R21" s="1">
        <v>215.9</v>
      </c>
    </row>
    <row r="22" spans="1:18" ht="12.75">
      <c r="A22" s="110" t="s">
        <v>782</v>
      </c>
      <c r="B22" s="167" t="s">
        <v>591</v>
      </c>
      <c r="C22" s="112">
        <v>4</v>
      </c>
      <c r="D22" s="127">
        <f t="shared" si="0"/>
        <v>4.2</v>
      </c>
      <c r="E22" s="114" t="s">
        <v>692</v>
      </c>
      <c r="F22" s="8" t="s">
        <v>1291</v>
      </c>
      <c r="G22" s="112">
        <v>1</v>
      </c>
      <c r="H22" s="111">
        <v>10</v>
      </c>
      <c r="I22" s="112">
        <v>200</v>
      </c>
      <c r="J22" s="112">
        <v>10</v>
      </c>
      <c r="K22" s="112">
        <v>50</v>
      </c>
      <c r="L22" s="110"/>
      <c r="M22" s="110" t="s">
        <v>782</v>
      </c>
      <c r="N22" s="1">
        <v>12736.6</v>
      </c>
      <c r="P22" s="1">
        <v>434.3</v>
      </c>
      <c r="Q22" s="1">
        <v>632.29999999999995</v>
      </c>
      <c r="R22" s="1">
        <v>192.8</v>
      </c>
    </row>
    <row r="23" spans="1:18" ht="12.75">
      <c r="A23" s="110" t="s">
        <v>42</v>
      </c>
      <c r="B23" s="167" t="s">
        <v>591</v>
      </c>
      <c r="C23" s="112">
        <v>4</v>
      </c>
      <c r="D23" s="127">
        <f t="shared" si="0"/>
        <v>4.2</v>
      </c>
      <c r="E23" s="114" t="s">
        <v>692</v>
      </c>
      <c r="F23" s="8" t="s">
        <v>1291</v>
      </c>
      <c r="G23" s="1">
        <v>2</v>
      </c>
      <c r="H23" s="111">
        <v>10</v>
      </c>
      <c r="I23" s="112">
        <v>200</v>
      </c>
      <c r="J23" s="112">
        <v>10</v>
      </c>
      <c r="K23" s="112">
        <v>50</v>
      </c>
      <c r="L23" s="110"/>
      <c r="M23" s="110" t="s">
        <v>42</v>
      </c>
      <c r="N23" s="1">
        <v>12834.1</v>
      </c>
      <c r="P23" s="1">
        <v>426</v>
      </c>
      <c r="Q23" s="1">
        <v>662.7</v>
      </c>
      <c r="R23" s="1">
        <v>242.2</v>
      </c>
    </row>
    <row r="24" spans="1:18" ht="12.75">
      <c r="A24" s="110" t="s">
        <v>400</v>
      </c>
      <c r="B24" s="167" t="s">
        <v>1035</v>
      </c>
      <c r="C24" s="112">
        <v>4</v>
      </c>
      <c r="D24" s="127">
        <f t="shared" si="0"/>
        <v>4.2</v>
      </c>
      <c r="E24" s="114" t="s">
        <v>692</v>
      </c>
      <c r="F24" s="8" t="s">
        <v>1291</v>
      </c>
      <c r="G24" s="1">
        <v>2</v>
      </c>
      <c r="H24" s="111">
        <v>10</v>
      </c>
      <c r="I24" s="112">
        <v>200</v>
      </c>
      <c r="J24" s="112">
        <v>10</v>
      </c>
      <c r="K24" s="112">
        <v>50</v>
      </c>
      <c r="L24" s="110"/>
      <c r="M24" s="110" t="s">
        <v>400</v>
      </c>
      <c r="N24" s="1">
        <v>11482.8</v>
      </c>
      <c r="P24" s="1">
        <v>373.3</v>
      </c>
      <c r="Q24" s="1">
        <v>1105.5</v>
      </c>
      <c r="R24" s="1">
        <v>71.2</v>
      </c>
    </row>
    <row r="25" spans="1:18" ht="12.75">
      <c r="A25" s="110" t="s">
        <v>401</v>
      </c>
      <c r="B25" s="167" t="s">
        <v>1035</v>
      </c>
      <c r="C25" s="112">
        <v>4</v>
      </c>
      <c r="D25" s="127">
        <f t="shared" si="0"/>
        <v>4.2</v>
      </c>
      <c r="E25" s="114" t="s">
        <v>692</v>
      </c>
      <c r="F25" s="8" t="s">
        <v>1291</v>
      </c>
      <c r="G25" s="1">
        <v>2</v>
      </c>
      <c r="H25" s="111">
        <v>10</v>
      </c>
      <c r="I25" s="112">
        <v>200</v>
      </c>
      <c r="J25" s="112">
        <v>10</v>
      </c>
      <c r="K25" s="112">
        <v>50</v>
      </c>
      <c r="L25" s="110"/>
      <c r="M25" s="110" t="s">
        <v>401</v>
      </c>
      <c r="N25" s="1">
        <v>11309.7</v>
      </c>
      <c r="P25" s="1">
        <v>380.2</v>
      </c>
      <c r="Q25" s="1">
        <v>1094.7</v>
      </c>
      <c r="R25" s="1">
        <v>75.099999999999994</v>
      </c>
    </row>
    <row r="26" spans="1:18" ht="12.75">
      <c r="A26" s="1" t="s">
        <v>402</v>
      </c>
      <c r="B26" s="167" t="s">
        <v>1035</v>
      </c>
      <c r="C26" s="112">
        <v>4</v>
      </c>
      <c r="D26" s="127">
        <f t="shared" si="0"/>
        <v>4.2</v>
      </c>
      <c r="E26" s="114" t="s">
        <v>692</v>
      </c>
      <c r="F26" s="8" t="s">
        <v>1291</v>
      </c>
      <c r="G26" s="1">
        <v>3</v>
      </c>
      <c r="H26" s="111">
        <v>10</v>
      </c>
      <c r="I26" s="112">
        <v>200</v>
      </c>
      <c r="J26" s="112">
        <v>10</v>
      </c>
      <c r="K26" s="112">
        <v>50</v>
      </c>
      <c r="L26" s="1"/>
      <c r="M26" s="1" t="s">
        <v>402</v>
      </c>
      <c r="N26" s="1">
        <v>11192.4</v>
      </c>
      <c r="P26" s="1">
        <v>392.6</v>
      </c>
      <c r="Q26" s="1">
        <v>1092.54</v>
      </c>
      <c r="R26" s="1">
        <v>70.900000000000006</v>
      </c>
    </row>
    <row r="27" spans="1:18" ht="12.75">
      <c r="A27" s="1" t="s">
        <v>403</v>
      </c>
      <c r="B27" s="167" t="s">
        <v>591</v>
      </c>
      <c r="C27" s="112">
        <v>4</v>
      </c>
      <c r="D27" s="127">
        <f t="shared" si="0"/>
        <v>4.2</v>
      </c>
      <c r="E27" s="114" t="s">
        <v>692</v>
      </c>
      <c r="F27" s="112" t="s">
        <v>1292</v>
      </c>
      <c r="G27" s="1">
        <v>3</v>
      </c>
      <c r="H27" s="111">
        <v>10</v>
      </c>
      <c r="I27" s="112">
        <v>200</v>
      </c>
      <c r="J27" s="112">
        <v>10</v>
      </c>
      <c r="K27" s="112">
        <v>50</v>
      </c>
      <c r="L27" s="1"/>
      <c r="M27" s="1" t="s">
        <v>403</v>
      </c>
      <c r="N27" s="1">
        <v>11609.2</v>
      </c>
      <c r="P27" s="1">
        <v>594.4</v>
      </c>
      <c r="Q27" s="1">
        <v>421.3</v>
      </c>
      <c r="R27" s="1">
        <v>226.7</v>
      </c>
    </row>
    <row r="28" spans="1:18" ht="12.75">
      <c r="A28" s="1" t="s">
        <v>407</v>
      </c>
      <c r="B28" s="167" t="s">
        <v>591</v>
      </c>
      <c r="C28" s="112">
        <v>4</v>
      </c>
      <c r="D28" s="127">
        <f t="shared" si="0"/>
        <v>4.2</v>
      </c>
      <c r="E28" s="114" t="s">
        <v>692</v>
      </c>
      <c r="F28" s="112" t="s">
        <v>1292</v>
      </c>
      <c r="G28" s="1">
        <v>3</v>
      </c>
      <c r="H28" s="111">
        <v>10</v>
      </c>
      <c r="I28" s="112">
        <v>200</v>
      </c>
      <c r="J28" s="112">
        <v>10</v>
      </c>
      <c r="K28" s="112">
        <v>50</v>
      </c>
      <c r="L28" s="1"/>
      <c r="M28" s="1" t="s">
        <v>407</v>
      </c>
      <c r="N28" s="1">
        <v>13248.6</v>
      </c>
      <c r="P28" s="1">
        <v>495.8</v>
      </c>
      <c r="Q28" s="1">
        <v>391.6</v>
      </c>
      <c r="R28" s="1">
        <v>276</v>
      </c>
    </row>
    <row r="29" spans="1:18" ht="12.75">
      <c r="A29" s="1" t="s">
        <v>408</v>
      </c>
      <c r="B29" s="167" t="s">
        <v>591</v>
      </c>
      <c r="C29" s="112">
        <v>4</v>
      </c>
      <c r="D29" s="127">
        <f t="shared" si="0"/>
        <v>4.2</v>
      </c>
      <c r="E29" s="114" t="s">
        <v>692</v>
      </c>
      <c r="F29" s="112" t="s">
        <v>1292</v>
      </c>
      <c r="G29" s="1">
        <v>3</v>
      </c>
      <c r="H29" s="111">
        <v>10</v>
      </c>
      <c r="I29" s="112">
        <v>200</v>
      </c>
      <c r="J29" s="112">
        <v>10</v>
      </c>
      <c r="K29" s="112">
        <v>50</v>
      </c>
      <c r="L29" s="1"/>
      <c r="M29" s="1" t="s">
        <v>408</v>
      </c>
      <c r="N29" s="1">
        <v>12394.1</v>
      </c>
      <c r="P29" s="1">
        <v>453.1</v>
      </c>
      <c r="Q29" s="1">
        <v>468.5</v>
      </c>
      <c r="R29" s="1">
        <v>222.6</v>
      </c>
    </row>
    <row r="30" spans="1:18" ht="12.75">
      <c r="A30" s="1" t="s">
        <v>1148</v>
      </c>
      <c r="B30" s="167" t="s">
        <v>1035</v>
      </c>
      <c r="C30" s="112">
        <v>4</v>
      </c>
      <c r="D30" s="127">
        <f t="shared" si="0"/>
        <v>4.2</v>
      </c>
      <c r="E30" s="114" t="s">
        <v>692</v>
      </c>
      <c r="F30" s="112" t="s">
        <v>1292</v>
      </c>
      <c r="G30" s="1">
        <v>3</v>
      </c>
      <c r="H30" s="111">
        <v>10</v>
      </c>
      <c r="I30" s="112">
        <v>200</v>
      </c>
      <c r="J30" s="112">
        <v>10</v>
      </c>
      <c r="K30" s="112">
        <v>50</v>
      </c>
      <c r="L30" s="1"/>
      <c r="M30" s="1" t="s">
        <v>1148</v>
      </c>
      <c r="N30" s="1">
        <v>11040.5</v>
      </c>
      <c r="P30" s="1">
        <v>408.3</v>
      </c>
      <c r="Q30" s="1">
        <v>1043.8</v>
      </c>
      <c r="R30" s="1">
        <v>81.5</v>
      </c>
    </row>
    <row r="31" spans="1:18" ht="12.75">
      <c r="A31" s="1" t="s">
        <v>1149</v>
      </c>
      <c r="B31" s="167" t="s">
        <v>1035</v>
      </c>
      <c r="C31" s="112">
        <v>4</v>
      </c>
      <c r="D31" s="127">
        <f t="shared" si="0"/>
        <v>4.2</v>
      </c>
      <c r="E31" s="114" t="s">
        <v>692</v>
      </c>
      <c r="F31" s="112" t="s">
        <v>1292</v>
      </c>
      <c r="G31" s="1">
        <v>3</v>
      </c>
      <c r="H31" s="111">
        <v>10</v>
      </c>
      <c r="I31" s="112">
        <v>200</v>
      </c>
      <c r="J31" s="112">
        <v>10</v>
      </c>
      <c r="K31" s="112">
        <v>50</v>
      </c>
      <c r="L31" s="1"/>
      <c r="M31" s="1" t="s">
        <v>1149</v>
      </c>
      <c r="N31" s="1">
        <v>11239.4</v>
      </c>
      <c r="P31" s="1">
        <v>407.6</v>
      </c>
      <c r="Q31" s="1">
        <v>1042.9000000000001</v>
      </c>
      <c r="R31" s="1">
        <v>88.4</v>
      </c>
    </row>
    <row r="32" spans="1:18" ht="12.75">
      <c r="A32" s="1" t="s">
        <v>1150</v>
      </c>
      <c r="B32" s="167" t="s">
        <v>1035</v>
      </c>
      <c r="C32" s="112">
        <v>4</v>
      </c>
      <c r="D32" s="127">
        <f t="shared" si="0"/>
        <v>4.2</v>
      </c>
      <c r="E32" s="114" t="s">
        <v>692</v>
      </c>
      <c r="F32" s="112" t="s">
        <v>1292</v>
      </c>
      <c r="G32" s="1">
        <v>3</v>
      </c>
      <c r="H32" s="111">
        <v>10</v>
      </c>
      <c r="I32" s="112">
        <v>200</v>
      </c>
      <c r="J32" s="112">
        <v>10</v>
      </c>
      <c r="K32" s="112">
        <v>50</v>
      </c>
      <c r="L32" s="1"/>
      <c r="M32" s="1" t="s">
        <v>1150</v>
      </c>
      <c r="N32" s="1">
        <v>11085.2</v>
      </c>
      <c r="P32" s="1">
        <v>421.1</v>
      </c>
      <c r="Q32" s="1">
        <v>1040.9000000000001</v>
      </c>
      <c r="R32" s="1">
        <v>89.9</v>
      </c>
    </row>
    <row r="33" spans="1:22" ht="12.75">
      <c r="B33" s="114" t="s">
        <v>300</v>
      </c>
      <c r="C33" s="127">
        <f>SUM(C3:C32)</f>
        <v>120</v>
      </c>
      <c r="E33" s="1"/>
      <c r="H33" s="1" t="s">
        <v>1039</v>
      </c>
      <c r="I33">
        <f>SUM(I3:I32)</f>
        <v>6000</v>
      </c>
      <c r="N33" s="1"/>
      <c r="O33" s="1"/>
      <c r="P33" s="1"/>
      <c r="R33" s="1"/>
      <c r="S33" s="1"/>
    </row>
    <row r="34" spans="1:22" ht="12.75">
      <c r="A34" s="125" t="s">
        <v>1040</v>
      </c>
      <c r="B34" s="1" t="s">
        <v>1041</v>
      </c>
      <c r="I34" s="125" t="s">
        <v>968</v>
      </c>
      <c r="J34" s="114"/>
      <c r="K34" s="114"/>
      <c r="O34" s="1"/>
      <c r="P34" s="1"/>
      <c r="S34" s="1"/>
    </row>
    <row r="35" spans="1:22" ht="12.75">
      <c r="A35" s="1" t="s">
        <v>1247</v>
      </c>
      <c r="I35" s="114" t="s">
        <v>970</v>
      </c>
      <c r="J35" s="114" t="s">
        <v>47</v>
      </c>
      <c r="K35" s="114" t="s">
        <v>300</v>
      </c>
      <c r="O35" s="1"/>
      <c r="P35" s="1"/>
      <c r="S35" s="1"/>
    </row>
    <row r="36" spans="1:22" ht="12.75">
      <c r="A36" s="1" t="s">
        <v>1293</v>
      </c>
      <c r="H36" s="1"/>
      <c r="I36" s="128" t="s">
        <v>1044</v>
      </c>
      <c r="J36" s="126">
        <v>0.3</v>
      </c>
      <c r="O36" s="1"/>
      <c r="P36" s="1"/>
      <c r="S36" s="1"/>
    </row>
    <row r="37" spans="1:22" ht="12.75">
      <c r="A37" s="1"/>
      <c r="I37" s="112">
        <v>2070</v>
      </c>
      <c r="J37" s="127">
        <f>I37/J36-I37</f>
        <v>4830</v>
      </c>
      <c r="K37" s="127">
        <f>SUM(I37:J37)</f>
        <v>6900</v>
      </c>
      <c r="O37" s="1"/>
      <c r="P37" s="1"/>
      <c r="R37" s="1"/>
      <c r="S37" s="1"/>
    </row>
    <row r="38" spans="1:22" ht="12.75">
      <c r="A38" s="1"/>
      <c r="H38" s="1"/>
      <c r="I38" s="168"/>
      <c r="J38" s="112"/>
      <c r="K38" s="127"/>
      <c r="O38" s="1"/>
      <c r="P38" s="1"/>
      <c r="R38" s="1"/>
      <c r="S38" s="1"/>
    </row>
    <row r="39" spans="1:22" ht="12.75">
      <c r="A39" s="1"/>
      <c r="I39" s="112"/>
      <c r="J39" s="127"/>
      <c r="K39" s="127"/>
      <c r="L39" s="1"/>
      <c r="M39" s="1" t="s">
        <v>816</v>
      </c>
      <c r="N39" s="1" t="s">
        <v>817</v>
      </c>
      <c r="P39" s="1" t="s">
        <v>1250</v>
      </c>
      <c r="Q39" s="1" t="s">
        <v>819</v>
      </c>
      <c r="R39" s="1"/>
      <c r="S39" s="1"/>
    </row>
    <row r="40" spans="1:22" ht="12.75">
      <c r="A40" s="1"/>
      <c r="H40" s="1"/>
      <c r="I40" s="5"/>
      <c r="J40" s="1"/>
      <c r="L40" s="1"/>
      <c r="M40" s="1">
        <v>1</v>
      </c>
      <c r="N40" s="1">
        <v>1</v>
      </c>
      <c r="O40" s="1" t="s">
        <v>820</v>
      </c>
      <c r="P40" s="1">
        <v>13.3</v>
      </c>
      <c r="R40" s="1"/>
      <c r="S40" s="1"/>
    </row>
    <row r="41" spans="1:22" ht="12.75">
      <c r="A41" s="1"/>
      <c r="I41" s="112"/>
      <c r="J41" s="127"/>
      <c r="K41" s="127"/>
      <c r="M41">
        <f t="shared" ref="M41:M83" si="1">M40+1</f>
        <v>2</v>
      </c>
      <c r="N41" s="1">
        <v>2</v>
      </c>
      <c r="O41" s="1" t="s">
        <v>821</v>
      </c>
      <c r="P41" s="1">
        <v>418.2</v>
      </c>
      <c r="Q41" s="1">
        <v>14.3</v>
      </c>
      <c r="R41" s="1"/>
      <c r="S41" s="1"/>
    </row>
    <row r="42" spans="1:22" ht="12.75">
      <c r="A42" s="1"/>
      <c r="H42" s="1"/>
      <c r="I42" s="5"/>
      <c r="J42" s="1"/>
      <c r="M42">
        <f t="shared" si="1"/>
        <v>3</v>
      </c>
      <c r="N42" s="1">
        <v>3</v>
      </c>
      <c r="O42" s="1" t="s">
        <v>822</v>
      </c>
      <c r="P42" s="1">
        <v>106.4</v>
      </c>
      <c r="Q42" s="1">
        <v>103.4</v>
      </c>
      <c r="R42" s="1"/>
      <c r="S42" s="1"/>
    </row>
    <row r="43" spans="1:22" ht="12.75">
      <c r="I43" s="112"/>
      <c r="J43" s="127"/>
      <c r="K43" s="127"/>
      <c r="M43">
        <f t="shared" si="1"/>
        <v>4</v>
      </c>
      <c r="N43" s="1">
        <v>4</v>
      </c>
      <c r="O43" s="1" t="s">
        <v>823</v>
      </c>
      <c r="P43" s="1">
        <v>34.799999999999997</v>
      </c>
      <c r="Q43" s="1">
        <v>247.4</v>
      </c>
      <c r="R43" s="1"/>
      <c r="S43" s="1"/>
    </row>
    <row r="44" spans="1:22" ht="12.75">
      <c r="M44">
        <f t="shared" si="1"/>
        <v>5</v>
      </c>
      <c r="N44" s="1">
        <v>5</v>
      </c>
      <c r="O44" s="1" t="s">
        <v>692</v>
      </c>
      <c r="P44" s="1">
        <v>16.399999999999999</v>
      </c>
      <c r="R44" s="1"/>
      <c r="S44" s="1"/>
    </row>
    <row r="45" spans="1:22" ht="12.75">
      <c r="M45">
        <f t="shared" si="1"/>
        <v>6</v>
      </c>
      <c r="N45" s="1">
        <v>1</v>
      </c>
      <c r="O45" s="1" t="s">
        <v>820</v>
      </c>
      <c r="P45" s="1">
        <v>17.2</v>
      </c>
      <c r="R45" s="1"/>
      <c r="S45" s="1"/>
    </row>
    <row r="46" spans="1:22" ht="12.75">
      <c r="M46">
        <f t="shared" si="1"/>
        <v>7</v>
      </c>
      <c r="N46" s="1">
        <v>6</v>
      </c>
      <c r="O46" s="125" t="s">
        <v>17</v>
      </c>
      <c r="P46" s="1">
        <v>17.899999999999999</v>
      </c>
      <c r="Q46" s="1">
        <v>26.2</v>
      </c>
      <c r="R46" s="1"/>
      <c r="S46" s="1"/>
    </row>
    <row r="47" spans="1:22" ht="12.75">
      <c r="M47">
        <f t="shared" si="1"/>
        <v>8</v>
      </c>
      <c r="N47">
        <f t="shared" ref="N47:N77" si="2">N46+1</f>
        <v>7</v>
      </c>
      <c r="O47" s="125" t="s">
        <v>18</v>
      </c>
      <c r="P47" s="1">
        <v>22.1</v>
      </c>
      <c r="Q47" s="1">
        <v>28.7</v>
      </c>
      <c r="R47" s="1"/>
      <c r="S47" s="1"/>
    </row>
    <row r="48" spans="1:22" ht="12.75">
      <c r="M48">
        <f t="shared" si="1"/>
        <v>9</v>
      </c>
      <c r="N48">
        <f t="shared" si="2"/>
        <v>8</v>
      </c>
      <c r="O48" s="125" t="s">
        <v>19</v>
      </c>
      <c r="P48" s="1">
        <v>23.1</v>
      </c>
      <c r="Q48" s="1">
        <v>22.2</v>
      </c>
      <c r="S48" s="1"/>
      <c r="V48" s="1"/>
    </row>
    <row r="49" spans="13:19" ht="12.75">
      <c r="M49">
        <f t="shared" si="1"/>
        <v>10</v>
      </c>
      <c r="N49">
        <f t="shared" si="2"/>
        <v>9</v>
      </c>
      <c r="O49" s="114" t="s">
        <v>20</v>
      </c>
      <c r="P49" s="1">
        <v>25.5</v>
      </c>
      <c r="Q49" s="1">
        <v>52.1</v>
      </c>
      <c r="R49" s="1"/>
      <c r="S49" s="1"/>
    </row>
    <row r="50" spans="13:19" ht="12.75">
      <c r="M50">
        <f t="shared" si="1"/>
        <v>11</v>
      </c>
      <c r="N50">
        <f t="shared" si="2"/>
        <v>10</v>
      </c>
      <c r="O50" s="114" t="s">
        <v>21</v>
      </c>
      <c r="P50" s="1">
        <v>27.1</v>
      </c>
      <c r="Q50" s="1">
        <v>50.9</v>
      </c>
      <c r="S50" s="1"/>
    </row>
    <row r="51" spans="13:19" ht="12.75">
      <c r="M51">
        <f t="shared" si="1"/>
        <v>12</v>
      </c>
      <c r="N51">
        <f t="shared" si="2"/>
        <v>11</v>
      </c>
      <c r="O51" s="114" t="s">
        <v>22</v>
      </c>
      <c r="P51" s="1">
        <v>27.9</v>
      </c>
      <c r="Q51" s="1">
        <v>51.5</v>
      </c>
      <c r="R51" s="1"/>
      <c r="S51" s="1"/>
    </row>
    <row r="52" spans="13:19" ht="12.75">
      <c r="M52">
        <f t="shared" si="1"/>
        <v>13</v>
      </c>
      <c r="N52">
        <f t="shared" si="2"/>
        <v>12</v>
      </c>
      <c r="O52" s="128" t="s">
        <v>23</v>
      </c>
      <c r="P52" s="1">
        <v>27.5</v>
      </c>
      <c r="Q52" s="1">
        <v>36.700000000000003</v>
      </c>
      <c r="S52" s="1"/>
    </row>
    <row r="53" spans="13:19" ht="12.75">
      <c r="M53">
        <f t="shared" si="1"/>
        <v>14</v>
      </c>
      <c r="N53">
        <f t="shared" si="2"/>
        <v>13</v>
      </c>
      <c r="O53" s="128" t="s">
        <v>24</v>
      </c>
      <c r="P53" s="1">
        <v>27.4</v>
      </c>
      <c r="Q53" s="1">
        <v>55.3</v>
      </c>
      <c r="S53" s="1"/>
    </row>
    <row r="54" spans="13:19" ht="12.75">
      <c r="M54">
        <f t="shared" si="1"/>
        <v>15</v>
      </c>
      <c r="N54">
        <f t="shared" si="2"/>
        <v>14</v>
      </c>
      <c r="O54" s="128" t="s">
        <v>25</v>
      </c>
      <c r="P54" s="1">
        <v>29.7</v>
      </c>
      <c r="Q54" s="1">
        <v>57.2</v>
      </c>
      <c r="S54" s="1"/>
    </row>
    <row r="55" spans="13:19" ht="12.75">
      <c r="M55">
        <f t="shared" si="1"/>
        <v>16</v>
      </c>
      <c r="N55">
        <f t="shared" si="2"/>
        <v>15</v>
      </c>
      <c r="O55" s="110" t="s">
        <v>26</v>
      </c>
      <c r="P55" s="1">
        <v>33.1</v>
      </c>
      <c r="Q55" s="1">
        <v>73.5</v>
      </c>
    </row>
    <row r="56" spans="13:19" ht="12.75">
      <c r="M56">
        <f t="shared" si="1"/>
        <v>17</v>
      </c>
      <c r="N56">
        <f t="shared" si="2"/>
        <v>16</v>
      </c>
      <c r="O56" s="110" t="s">
        <v>27</v>
      </c>
      <c r="P56" s="1">
        <v>33.5</v>
      </c>
      <c r="Q56" s="1">
        <v>72.7</v>
      </c>
    </row>
    <row r="57" spans="13:19" ht="12.75">
      <c r="M57">
        <f t="shared" si="1"/>
        <v>18</v>
      </c>
      <c r="N57">
        <f t="shared" si="2"/>
        <v>17</v>
      </c>
      <c r="O57" s="110" t="s">
        <v>28</v>
      </c>
      <c r="P57" s="1">
        <v>34.4</v>
      </c>
      <c r="Q57" s="1">
        <v>72.7</v>
      </c>
      <c r="S57" s="1"/>
    </row>
    <row r="58" spans="13:19" ht="12.75">
      <c r="M58">
        <f t="shared" si="1"/>
        <v>19</v>
      </c>
      <c r="N58">
        <f t="shared" si="2"/>
        <v>18</v>
      </c>
      <c r="O58" s="128" t="s">
        <v>29</v>
      </c>
      <c r="P58" s="1">
        <v>33.299999999999997</v>
      </c>
      <c r="Q58" s="1">
        <v>76</v>
      </c>
      <c r="S58" s="1"/>
    </row>
    <row r="59" spans="13:19" ht="12.75">
      <c r="M59">
        <f t="shared" si="1"/>
        <v>20</v>
      </c>
      <c r="N59">
        <f t="shared" si="2"/>
        <v>19</v>
      </c>
      <c r="O59" s="128" t="s">
        <v>30</v>
      </c>
      <c r="P59" s="1">
        <v>32.700000000000003</v>
      </c>
      <c r="Q59" s="1">
        <v>69</v>
      </c>
      <c r="R59" s="1"/>
    </row>
    <row r="60" spans="13:19" ht="12.75">
      <c r="M60">
        <f t="shared" si="1"/>
        <v>21</v>
      </c>
      <c r="N60">
        <f t="shared" si="2"/>
        <v>20</v>
      </c>
      <c r="O60" s="128" t="s">
        <v>31</v>
      </c>
      <c r="P60" s="1">
        <v>34.4</v>
      </c>
      <c r="Q60" s="1">
        <v>89.5</v>
      </c>
      <c r="S60" s="1"/>
    </row>
    <row r="61" spans="13:19" ht="12.75">
      <c r="M61">
        <f t="shared" si="1"/>
        <v>22</v>
      </c>
      <c r="N61">
        <f t="shared" si="2"/>
        <v>21</v>
      </c>
      <c r="O61" s="110" t="s">
        <v>32</v>
      </c>
      <c r="P61" s="1">
        <v>38.9</v>
      </c>
      <c r="Q61" s="1">
        <v>90.8</v>
      </c>
    </row>
    <row r="62" spans="13:19" ht="12.75">
      <c r="M62">
        <f t="shared" si="1"/>
        <v>23</v>
      </c>
      <c r="N62">
        <f t="shared" si="2"/>
        <v>22</v>
      </c>
      <c r="O62" s="110" t="s">
        <v>34</v>
      </c>
      <c r="P62" s="1">
        <v>39.4</v>
      </c>
      <c r="Q62" s="1">
        <v>89.6</v>
      </c>
      <c r="S62" s="1"/>
    </row>
    <row r="63" spans="13:19" ht="12.75">
      <c r="M63">
        <f t="shared" si="1"/>
        <v>24</v>
      </c>
      <c r="N63">
        <f t="shared" si="2"/>
        <v>23</v>
      </c>
      <c r="O63" s="110" t="s">
        <v>36</v>
      </c>
      <c r="P63" s="1">
        <v>39.9</v>
      </c>
      <c r="Q63" s="1">
        <v>90.2</v>
      </c>
      <c r="S63" s="1"/>
    </row>
    <row r="64" spans="13:19" ht="12.75">
      <c r="M64">
        <f t="shared" si="1"/>
        <v>25</v>
      </c>
      <c r="N64">
        <f t="shared" si="2"/>
        <v>24</v>
      </c>
      <c r="O64" s="128" t="s">
        <v>1146</v>
      </c>
      <c r="P64" s="1">
        <v>37.9</v>
      </c>
      <c r="Q64" s="1">
        <v>124.7</v>
      </c>
      <c r="S64" s="1"/>
    </row>
    <row r="65" spans="13:22" ht="12.75">
      <c r="M65">
        <f t="shared" si="1"/>
        <v>26</v>
      </c>
      <c r="N65">
        <f t="shared" si="2"/>
        <v>25</v>
      </c>
      <c r="O65" s="128" t="s">
        <v>782</v>
      </c>
      <c r="P65" s="1">
        <v>38</v>
      </c>
      <c r="Q65" s="1">
        <v>113.1</v>
      </c>
    </row>
    <row r="66" spans="13:22" ht="12.75">
      <c r="M66">
        <f t="shared" si="1"/>
        <v>27</v>
      </c>
      <c r="N66">
        <f t="shared" si="2"/>
        <v>26</v>
      </c>
      <c r="O66" s="128" t="s">
        <v>42</v>
      </c>
      <c r="P66" s="1">
        <v>38.299999999999997</v>
      </c>
      <c r="Q66" s="1">
        <v>114.4</v>
      </c>
      <c r="R66" s="1"/>
    </row>
    <row r="67" spans="13:22" ht="12.75">
      <c r="M67">
        <f t="shared" si="1"/>
        <v>28</v>
      </c>
      <c r="N67">
        <f t="shared" si="2"/>
        <v>27</v>
      </c>
      <c r="O67" s="110" t="s">
        <v>400</v>
      </c>
      <c r="P67" s="1">
        <v>43.7</v>
      </c>
      <c r="Q67" s="1">
        <v>105.7</v>
      </c>
      <c r="R67" s="1"/>
      <c r="S67" s="1"/>
    </row>
    <row r="68" spans="13:22" ht="12.75">
      <c r="M68">
        <f t="shared" si="1"/>
        <v>29</v>
      </c>
      <c r="N68">
        <f t="shared" si="2"/>
        <v>28</v>
      </c>
      <c r="O68" s="110" t="s">
        <v>401</v>
      </c>
      <c r="P68" s="1">
        <v>44.1</v>
      </c>
      <c r="Q68" s="1">
        <v>106.3</v>
      </c>
      <c r="S68" s="1"/>
    </row>
    <row r="69" spans="13:22" ht="12.75">
      <c r="M69">
        <f t="shared" si="1"/>
        <v>30</v>
      </c>
      <c r="N69">
        <f t="shared" si="2"/>
        <v>29</v>
      </c>
      <c r="O69" s="1" t="s">
        <v>402</v>
      </c>
      <c r="P69" s="1">
        <v>46</v>
      </c>
      <c r="Q69" s="1">
        <v>108.5</v>
      </c>
      <c r="R69" s="1"/>
      <c r="S69" s="1"/>
    </row>
    <row r="70" spans="13:22" ht="12.75">
      <c r="M70">
        <f t="shared" si="1"/>
        <v>31</v>
      </c>
      <c r="N70">
        <f t="shared" si="2"/>
        <v>30</v>
      </c>
      <c r="O70" s="5" t="s">
        <v>403</v>
      </c>
      <c r="P70" s="1">
        <v>42.5</v>
      </c>
      <c r="Q70" s="1">
        <v>143.30000000000001</v>
      </c>
      <c r="S70" s="1"/>
    </row>
    <row r="71" spans="13:22" ht="12.75">
      <c r="M71">
        <f t="shared" si="1"/>
        <v>32</v>
      </c>
      <c r="N71">
        <f t="shared" si="2"/>
        <v>31</v>
      </c>
      <c r="O71" s="5" t="s">
        <v>407</v>
      </c>
      <c r="P71" s="1">
        <v>43.5</v>
      </c>
      <c r="Q71" s="1">
        <v>162.19999999999999</v>
      </c>
      <c r="R71" s="1"/>
      <c r="S71" s="1"/>
    </row>
    <row r="72" spans="13:22" ht="12.75">
      <c r="M72">
        <f t="shared" si="1"/>
        <v>33</v>
      </c>
      <c r="N72">
        <f t="shared" si="2"/>
        <v>32</v>
      </c>
      <c r="O72" s="5" t="s">
        <v>408</v>
      </c>
      <c r="P72" s="1">
        <v>43.7</v>
      </c>
      <c r="Q72" s="1">
        <v>127.5</v>
      </c>
    </row>
    <row r="73" spans="13:22" ht="12.75">
      <c r="M73">
        <f t="shared" si="1"/>
        <v>34</v>
      </c>
      <c r="N73">
        <f t="shared" si="2"/>
        <v>33</v>
      </c>
      <c r="O73" s="1" t="s">
        <v>1148</v>
      </c>
      <c r="P73" s="1">
        <v>49</v>
      </c>
      <c r="Q73" s="1">
        <v>119.8</v>
      </c>
      <c r="S73" s="1"/>
    </row>
    <row r="74" spans="13:22" ht="12.75">
      <c r="M74">
        <f t="shared" si="1"/>
        <v>35</v>
      </c>
      <c r="N74">
        <f t="shared" si="2"/>
        <v>34</v>
      </c>
      <c r="O74" s="1" t="s">
        <v>1149</v>
      </c>
      <c r="P74" s="1">
        <v>49.6</v>
      </c>
      <c r="Q74" s="1">
        <v>119</v>
      </c>
      <c r="R74" s="1"/>
      <c r="S74" s="1"/>
    </row>
    <row r="75" spans="13:22" ht="12.75">
      <c r="M75">
        <f t="shared" si="1"/>
        <v>36</v>
      </c>
      <c r="N75">
        <f t="shared" si="2"/>
        <v>35</v>
      </c>
      <c r="O75" s="1" t="s">
        <v>1150</v>
      </c>
      <c r="P75" s="1">
        <v>50.3</v>
      </c>
      <c r="Q75" s="1">
        <v>130.6</v>
      </c>
      <c r="S75" s="1"/>
    </row>
    <row r="76" spans="13:22" ht="12.75">
      <c r="M76">
        <f t="shared" si="1"/>
        <v>37</v>
      </c>
      <c r="N76">
        <f t="shared" si="2"/>
        <v>36</v>
      </c>
      <c r="O76" s="110" t="s">
        <v>1048</v>
      </c>
      <c r="P76" s="1">
        <v>40.299999999999997</v>
      </c>
      <c r="Q76" s="1">
        <v>16</v>
      </c>
    </row>
    <row r="77" spans="13:22" ht="21" customHeight="1">
      <c r="M77">
        <f t="shared" si="1"/>
        <v>38</v>
      </c>
      <c r="N77">
        <f t="shared" si="2"/>
        <v>37</v>
      </c>
      <c r="O77" s="110" t="s">
        <v>1294</v>
      </c>
      <c r="P77" s="1">
        <v>41.7</v>
      </c>
      <c r="Q77" s="1">
        <v>16.899999999999999</v>
      </c>
      <c r="T77" s="1"/>
      <c r="V77" s="1"/>
    </row>
    <row r="78" spans="13:22" ht="12.75">
      <c r="M78">
        <f t="shared" si="1"/>
        <v>39</v>
      </c>
      <c r="N78" s="1">
        <v>1</v>
      </c>
      <c r="O78" s="1" t="s">
        <v>820</v>
      </c>
      <c r="P78" s="1">
        <v>40.299999999999997</v>
      </c>
      <c r="Q78" s="1">
        <v>0</v>
      </c>
    </row>
    <row r="79" spans="13:22" ht="12.75">
      <c r="M79">
        <f t="shared" si="1"/>
        <v>40</v>
      </c>
      <c r="N79" s="1">
        <v>2</v>
      </c>
      <c r="O79" s="1" t="s">
        <v>821</v>
      </c>
      <c r="P79" s="1">
        <v>457.9</v>
      </c>
      <c r="Q79" s="1">
        <v>14.5</v>
      </c>
      <c r="S79" s="1"/>
    </row>
    <row r="80" spans="13:22" ht="12.75">
      <c r="M80">
        <f t="shared" si="1"/>
        <v>41</v>
      </c>
      <c r="N80" s="1">
        <v>3</v>
      </c>
      <c r="O80" s="1" t="s">
        <v>822</v>
      </c>
      <c r="P80" s="1">
        <v>130.80000000000001</v>
      </c>
      <c r="Q80" s="1">
        <v>122.5</v>
      </c>
    </row>
    <row r="81" spans="13:19" ht="12.75">
      <c r="M81">
        <f t="shared" si="1"/>
        <v>42</v>
      </c>
      <c r="N81" s="1">
        <v>4</v>
      </c>
      <c r="O81" s="1" t="s">
        <v>823</v>
      </c>
      <c r="P81" s="1">
        <v>55.4</v>
      </c>
      <c r="Q81" s="1">
        <v>248.4</v>
      </c>
      <c r="S81" s="1"/>
    </row>
    <row r="82" spans="13:19" ht="12.75">
      <c r="M82">
        <f t="shared" si="1"/>
        <v>43</v>
      </c>
      <c r="N82" s="1">
        <v>5</v>
      </c>
      <c r="O82" s="1" t="s">
        <v>692</v>
      </c>
      <c r="P82" s="1">
        <v>33.6</v>
      </c>
      <c r="Q82" s="1">
        <v>0</v>
      </c>
      <c r="S82" s="1"/>
    </row>
    <row r="83" spans="13:19" ht="12.75">
      <c r="M83">
        <f t="shared" si="1"/>
        <v>44</v>
      </c>
      <c r="N83" s="1">
        <v>1</v>
      </c>
      <c r="O83" s="1" t="s">
        <v>820</v>
      </c>
      <c r="P83" s="1">
        <v>35.1</v>
      </c>
      <c r="Q83" s="1">
        <v>0</v>
      </c>
    </row>
    <row r="84" spans="13:19" ht="12.75">
      <c r="O84" s="1"/>
      <c r="P84" s="1"/>
    </row>
    <row r="85" spans="13:19" ht="12.75">
      <c r="O85" s="1"/>
      <c r="P85" s="1"/>
      <c r="S85" s="1"/>
    </row>
    <row r="86" spans="13:19" ht="12.75">
      <c r="O86" s="1"/>
      <c r="P86" s="1"/>
      <c r="S86" s="1"/>
    </row>
    <row r="87" spans="13:19" ht="12.75">
      <c r="O87" s="1"/>
      <c r="P87" s="1"/>
      <c r="S87" s="1"/>
    </row>
    <row r="88" spans="13:19" ht="12.75">
      <c r="O88" s="1"/>
      <c r="P88" s="1"/>
      <c r="S88" s="1"/>
    </row>
    <row r="89" spans="13:19" ht="12.75">
      <c r="O89" s="1"/>
      <c r="P89" s="1"/>
      <c r="R89" s="1"/>
      <c r="S89" s="1"/>
    </row>
    <row r="90" spans="13:19" ht="12.75">
      <c r="O90" s="1"/>
      <c r="P90" s="1"/>
      <c r="S90" s="1"/>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8"/>
  <sheetViews>
    <sheetView workbookViewId="0"/>
  </sheetViews>
  <sheetFormatPr defaultColWidth="14.42578125" defaultRowHeight="15.75" customHeight="1"/>
  <cols>
    <col min="6" max="6" width="16.7109375" customWidth="1"/>
  </cols>
  <sheetData>
    <row r="1" spans="1:23" ht="12.75">
      <c r="A1" s="1" t="s">
        <v>1066</v>
      </c>
    </row>
    <row r="3" spans="1:23" ht="12.75">
      <c r="A3" s="114" t="s">
        <v>1</v>
      </c>
      <c r="B3" s="114" t="s">
        <v>659</v>
      </c>
      <c r="C3" s="114" t="s">
        <v>660</v>
      </c>
      <c r="D3" s="114" t="s">
        <v>661</v>
      </c>
      <c r="E3" s="114" t="s">
        <v>1032</v>
      </c>
      <c r="F3" s="110" t="s">
        <v>1295</v>
      </c>
      <c r="G3" s="110" t="s">
        <v>1296</v>
      </c>
      <c r="H3" s="110" t="s">
        <v>1033</v>
      </c>
      <c r="I3" s="114" t="s">
        <v>97</v>
      </c>
      <c r="J3" s="114" t="s">
        <v>664</v>
      </c>
      <c r="K3" s="114" t="s">
        <v>665</v>
      </c>
      <c r="L3" s="114" t="s">
        <v>666</v>
      </c>
      <c r="M3" s="114" t="s">
        <v>667</v>
      </c>
      <c r="N3" s="166"/>
      <c r="O3" s="165"/>
      <c r="P3" s="165"/>
      <c r="Q3" s="165"/>
      <c r="R3" s="165"/>
      <c r="S3" s="165"/>
      <c r="T3" s="166"/>
      <c r="U3" s="166"/>
      <c r="V3" s="166"/>
      <c r="W3" s="166"/>
    </row>
    <row r="4" spans="1:23" ht="12.75">
      <c r="A4" s="114" t="s">
        <v>962</v>
      </c>
      <c r="B4" s="114"/>
      <c r="C4" s="114"/>
      <c r="D4" s="114"/>
      <c r="E4" s="114"/>
      <c r="F4" s="114"/>
      <c r="G4" s="110"/>
      <c r="H4" s="114"/>
      <c r="I4" s="114"/>
      <c r="J4" s="114"/>
      <c r="K4" s="114"/>
      <c r="M4" s="114"/>
      <c r="N4" s="166"/>
      <c r="O4" s="166" t="s">
        <v>6</v>
      </c>
      <c r="P4" s="166" t="s">
        <v>7</v>
      </c>
      <c r="Q4" s="166" t="s">
        <v>8</v>
      </c>
      <c r="R4" s="166" t="s">
        <v>9</v>
      </c>
      <c r="S4" s="166" t="s">
        <v>10</v>
      </c>
      <c r="T4" s="179"/>
      <c r="U4" s="166" t="s">
        <v>1297</v>
      </c>
      <c r="V4" s="166" t="s">
        <v>1298</v>
      </c>
      <c r="W4" s="166" t="s">
        <v>1299</v>
      </c>
    </row>
    <row r="5" spans="1:23" ht="12.75">
      <c r="A5" s="114" t="s">
        <v>17</v>
      </c>
      <c r="B5" s="167" t="s">
        <v>1035</v>
      </c>
      <c r="C5" s="111">
        <v>4</v>
      </c>
      <c r="D5" s="127">
        <f t="shared" ref="D5:D24" si="0">C5+K5/1000</f>
        <v>4.2</v>
      </c>
      <c r="E5" s="114" t="s">
        <v>692</v>
      </c>
      <c r="F5" s="112" t="s">
        <v>1035</v>
      </c>
      <c r="G5" s="112" t="s">
        <v>1035</v>
      </c>
      <c r="H5" s="112" t="s">
        <v>1300</v>
      </c>
      <c r="I5" s="111">
        <v>1</v>
      </c>
      <c r="J5" s="111">
        <v>10</v>
      </c>
      <c r="K5" s="112">
        <v>200</v>
      </c>
      <c r="L5" s="112">
        <v>10</v>
      </c>
      <c r="M5" s="112">
        <v>50</v>
      </c>
      <c r="N5" s="166"/>
      <c r="O5" s="180"/>
      <c r="P5" s="180"/>
      <c r="Q5" s="180"/>
      <c r="R5" s="180"/>
      <c r="S5" s="180"/>
      <c r="T5" s="179"/>
      <c r="U5" s="166"/>
      <c r="V5" s="166"/>
      <c r="W5" s="176">
        <v>340</v>
      </c>
    </row>
    <row r="6" spans="1:23" ht="12.75">
      <c r="A6" s="114" t="s">
        <v>18</v>
      </c>
      <c r="B6" s="167" t="s">
        <v>1035</v>
      </c>
      <c r="C6" s="111">
        <v>4</v>
      </c>
      <c r="D6" s="127">
        <f t="shared" si="0"/>
        <v>4.2</v>
      </c>
      <c r="E6" s="114" t="s">
        <v>692</v>
      </c>
      <c r="F6" s="112" t="s">
        <v>1035</v>
      </c>
      <c r="G6" s="112" t="s">
        <v>1035</v>
      </c>
      <c r="H6" s="112" t="s">
        <v>1300</v>
      </c>
      <c r="I6" s="111">
        <v>1</v>
      </c>
      <c r="J6" s="111">
        <v>10</v>
      </c>
      <c r="K6" s="112">
        <v>200</v>
      </c>
      <c r="L6" s="112">
        <v>10</v>
      </c>
      <c r="M6" s="112">
        <v>50</v>
      </c>
      <c r="N6" s="166"/>
      <c r="O6" s="165"/>
      <c r="P6" s="165"/>
      <c r="Q6" s="165"/>
      <c r="R6" s="165"/>
      <c r="S6" s="165"/>
      <c r="T6" s="179"/>
      <c r="U6" s="179"/>
      <c r="V6" s="179"/>
      <c r="W6" s="179"/>
    </row>
    <row r="7" spans="1:23" ht="12.75">
      <c r="A7" s="114" t="s">
        <v>19</v>
      </c>
      <c r="B7" s="167" t="s">
        <v>591</v>
      </c>
      <c r="C7" s="111">
        <v>4</v>
      </c>
      <c r="D7" s="127">
        <f t="shared" si="0"/>
        <v>4.2</v>
      </c>
      <c r="E7" s="114" t="s">
        <v>692</v>
      </c>
      <c r="F7" s="112" t="s">
        <v>1035</v>
      </c>
      <c r="G7" s="112" t="s">
        <v>1035</v>
      </c>
      <c r="H7" s="112">
        <v>1</v>
      </c>
      <c r="I7" s="111">
        <v>1</v>
      </c>
      <c r="J7" s="111">
        <v>10</v>
      </c>
      <c r="K7" s="112">
        <v>200</v>
      </c>
      <c r="L7" s="112">
        <v>10</v>
      </c>
      <c r="M7" s="112">
        <v>50</v>
      </c>
      <c r="N7" s="166"/>
      <c r="O7" s="181">
        <v>13553.8</v>
      </c>
      <c r="P7" s="179"/>
      <c r="Q7" s="181">
        <v>390</v>
      </c>
      <c r="R7" s="181">
        <v>1275.3</v>
      </c>
      <c r="S7" s="181">
        <v>66.900000000000006</v>
      </c>
      <c r="T7" s="179"/>
      <c r="U7" s="179"/>
      <c r="V7" s="179"/>
      <c r="W7" s="179"/>
    </row>
    <row r="8" spans="1:23" ht="12.75">
      <c r="A8" s="114" t="s">
        <v>20</v>
      </c>
      <c r="B8" s="167" t="s">
        <v>591</v>
      </c>
      <c r="C8" s="112">
        <v>4</v>
      </c>
      <c r="D8" s="127">
        <f t="shared" si="0"/>
        <v>4.2</v>
      </c>
      <c r="E8" s="114" t="s">
        <v>692</v>
      </c>
      <c r="F8" s="112" t="s">
        <v>1035</v>
      </c>
      <c r="G8" s="112" t="s">
        <v>1035</v>
      </c>
      <c r="H8" s="112">
        <v>1</v>
      </c>
      <c r="I8" s="112">
        <v>1</v>
      </c>
      <c r="J8" s="111">
        <v>10</v>
      </c>
      <c r="K8" s="112">
        <v>200</v>
      </c>
      <c r="L8" s="112">
        <v>10</v>
      </c>
      <c r="M8" s="112">
        <v>50</v>
      </c>
      <c r="N8" s="166"/>
      <c r="O8" s="181">
        <v>13625.5</v>
      </c>
      <c r="P8" s="180"/>
      <c r="Q8" s="181">
        <v>395.1</v>
      </c>
      <c r="R8" s="181">
        <v>1195.4000000000001</v>
      </c>
      <c r="S8" s="181">
        <v>83.7</v>
      </c>
      <c r="T8" s="179"/>
      <c r="U8" s="179"/>
      <c r="V8" s="179"/>
      <c r="W8" s="179"/>
    </row>
    <row r="9" spans="1:23" ht="12.75">
      <c r="A9" s="114" t="s">
        <v>21</v>
      </c>
      <c r="B9" s="167" t="s">
        <v>1035</v>
      </c>
      <c r="C9" s="112">
        <v>4</v>
      </c>
      <c r="D9" s="127">
        <f t="shared" si="0"/>
        <v>4.2</v>
      </c>
      <c r="E9" s="114" t="s">
        <v>692</v>
      </c>
      <c r="F9" s="112" t="s">
        <v>1035</v>
      </c>
      <c r="G9" s="112" t="s">
        <v>1035</v>
      </c>
      <c r="H9" s="112">
        <v>1</v>
      </c>
      <c r="I9" s="112">
        <v>1</v>
      </c>
      <c r="J9" s="111">
        <v>10</v>
      </c>
      <c r="K9" s="112">
        <v>200</v>
      </c>
      <c r="L9" s="112">
        <v>10</v>
      </c>
      <c r="M9" s="112">
        <v>50</v>
      </c>
      <c r="N9" s="166"/>
      <c r="O9" s="181">
        <v>12603.1</v>
      </c>
      <c r="P9" s="165"/>
      <c r="Q9" s="181">
        <v>368.6</v>
      </c>
      <c r="R9" s="181">
        <v>1359.8</v>
      </c>
      <c r="S9" s="181">
        <v>30.6</v>
      </c>
      <c r="T9" s="179"/>
      <c r="U9" s="179"/>
      <c r="V9" s="179"/>
      <c r="W9" s="179"/>
    </row>
    <row r="10" spans="1:23" ht="12.75">
      <c r="A10" s="114" t="s">
        <v>22</v>
      </c>
      <c r="B10" s="167" t="s">
        <v>1035</v>
      </c>
      <c r="C10" s="112">
        <v>4</v>
      </c>
      <c r="D10" s="127">
        <f t="shared" si="0"/>
        <v>4.2</v>
      </c>
      <c r="E10" s="114" t="s">
        <v>692</v>
      </c>
      <c r="F10" s="112" t="s">
        <v>1035</v>
      </c>
      <c r="G10" s="112" t="s">
        <v>1035</v>
      </c>
      <c r="H10" s="112">
        <v>1</v>
      </c>
      <c r="I10" s="112">
        <v>1</v>
      </c>
      <c r="J10" s="111">
        <v>10</v>
      </c>
      <c r="K10" s="112">
        <v>200</v>
      </c>
      <c r="L10" s="112">
        <v>10</v>
      </c>
      <c r="M10" s="112">
        <v>50</v>
      </c>
      <c r="N10" s="166"/>
      <c r="O10" s="181">
        <v>12377.6</v>
      </c>
      <c r="P10" s="165"/>
      <c r="Q10" s="181">
        <v>365</v>
      </c>
      <c r="R10" s="181">
        <v>1342.7</v>
      </c>
      <c r="S10" s="181">
        <v>30.4</v>
      </c>
      <c r="T10" s="179"/>
      <c r="U10" s="179"/>
      <c r="V10" s="179"/>
      <c r="W10" s="179"/>
    </row>
    <row r="11" spans="1:23" ht="12.75">
      <c r="A11" s="110" t="s">
        <v>23</v>
      </c>
      <c r="B11" s="167" t="s">
        <v>591</v>
      </c>
      <c r="C11" s="112">
        <v>4</v>
      </c>
      <c r="D11" s="127">
        <f t="shared" si="0"/>
        <v>4.2</v>
      </c>
      <c r="E11" s="114" t="s">
        <v>692</v>
      </c>
      <c r="F11" s="112" t="s">
        <v>1035</v>
      </c>
      <c r="G11" s="112" t="s">
        <v>1035</v>
      </c>
      <c r="H11" s="112">
        <v>2</v>
      </c>
      <c r="I11" s="112">
        <v>1</v>
      </c>
      <c r="J11" s="111">
        <v>10</v>
      </c>
      <c r="K11" s="112">
        <v>200</v>
      </c>
      <c r="L11" s="112">
        <v>10</v>
      </c>
      <c r="M11" s="112">
        <v>50</v>
      </c>
      <c r="N11" s="166"/>
      <c r="O11" s="181">
        <v>13474.8</v>
      </c>
      <c r="P11" s="165"/>
      <c r="Q11" s="181">
        <v>409.1</v>
      </c>
      <c r="R11" s="181">
        <v>975.9</v>
      </c>
      <c r="S11" s="181">
        <v>139.69999999999999</v>
      </c>
      <c r="T11" s="179"/>
      <c r="U11" s="179"/>
      <c r="V11" s="179"/>
      <c r="W11" s="179"/>
    </row>
    <row r="12" spans="1:23" ht="12.75">
      <c r="A12" s="110" t="s">
        <v>24</v>
      </c>
      <c r="B12" s="167" t="s">
        <v>591</v>
      </c>
      <c r="C12" s="112">
        <v>4</v>
      </c>
      <c r="D12" s="127">
        <f t="shared" si="0"/>
        <v>4.2</v>
      </c>
      <c r="E12" s="114" t="s">
        <v>692</v>
      </c>
      <c r="F12" s="112" t="s">
        <v>1035</v>
      </c>
      <c r="G12" s="112" t="s">
        <v>1035</v>
      </c>
      <c r="H12" s="112">
        <v>2</v>
      </c>
      <c r="I12" s="112">
        <v>1</v>
      </c>
      <c r="J12" s="111">
        <v>10</v>
      </c>
      <c r="K12" s="112">
        <v>200</v>
      </c>
      <c r="L12" s="112">
        <v>10</v>
      </c>
      <c r="M12" s="112">
        <v>50</v>
      </c>
      <c r="N12" s="166"/>
      <c r="O12" s="181">
        <v>13186.3</v>
      </c>
      <c r="P12" s="165"/>
      <c r="Q12" s="181">
        <v>407.5</v>
      </c>
      <c r="R12" s="181">
        <v>1003.7</v>
      </c>
      <c r="S12" s="181">
        <v>121.3</v>
      </c>
      <c r="T12" s="179"/>
      <c r="U12" s="179"/>
      <c r="V12" s="179"/>
      <c r="W12" s="179"/>
    </row>
    <row r="13" spans="1:23" ht="12.75">
      <c r="A13" s="110" t="s">
        <v>25</v>
      </c>
      <c r="B13" s="167" t="s">
        <v>1035</v>
      </c>
      <c r="C13" s="112">
        <v>4</v>
      </c>
      <c r="D13" s="127">
        <f t="shared" si="0"/>
        <v>4.2</v>
      </c>
      <c r="E13" s="114" t="s">
        <v>692</v>
      </c>
      <c r="F13" s="112" t="s">
        <v>1035</v>
      </c>
      <c r="G13" s="112" t="s">
        <v>1035</v>
      </c>
      <c r="H13" s="112">
        <v>2</v>
      </c>
      <c r="I13" s="112">
        <v>1</v>
      </c>
      <c r="J13" s="111">
        <v>10</v>
      </c>
      <c r="K13" s="112">
        <v>200</v>
      </c>
      <c r="L13" s="112">
        <v>10</v>
      </c>
      <c r="M13" s="112">
        <v>50</v>
      </c>
      <c r="N13" s="166"/>
      <c r="O13" s="181">
        <v>12046.9</v>
      </c>
      <c r="P13" s="165"/>
      <c r="Q13" s="181">
        <v>383.8</v>
      </c>
      <c r="R13" s="181">
        <v>1251</v>
      </c>
      <c r="S13" s="181">
        <v>48.2</v>
      </c>
      <c r="T13" s="179"/>
      <c r="U13" s="179"/>
      <c r="V13" s="179"/>
      <c r="W13" s="179"/>
    </row>
    <row r="14" spans="1:23" ht="12.75">
      <c r="A14" s="110" t="s">
        <v>26</v>
      </c>
      <c r="B14" s="167" t="s">
        <v>1035</v>
      </c>
      <c r="C14" s="112">
        <v>4</v>
      </c>
      <c r="D14" s="127">
        <f t="shared" si="0"/>
        <v>4.2</v>
      </c>
      <c r="E14" s="114" t="s">
        <v>692</v>
      </c>
      <c r="F14" s="112" t="s">
        <v>1035</v>
      </c>
      <c r="G14" s="112" t="s">
        <v>1035</v>
      </c>
      <c r="H14" s="112">
        <v>2</v>
      </c>
      <c r="I14" s="112">
        <v>1</v>
      </c>
      <c r="J14" s="111">
        <v>10</v>
      </c>
      <c r="K14" s="112">
        <v>200</v>
      </c>
      <c r="L14" s="112">
        <v>10</v>
      </c>
      <c r="M14" s="112">
        <v>50</v>
      </c>
      <c r="N14" s="166"/>
      <c r="O14" s="181">
        <v>11989.9</v>
      </c>
      <c r="P14" s="165"/>
      <c r="Q14" s="181">
        <v>372.7</v>
      </c>
      <c r="R14" s="181">
        <v>1240.5</v>
      </c>
      <c r="S14" s="181">
        <v>47.9</v>
      </c>
      <c r="T14" s="179"/>
      <c r="U14" s="179"/>
      <c r="V14" s="179"/>
      <c r="W14" s="179"/>
    </row>
    <row r="15" spans="1:23" ht="12.75">
      <c r="A15" s="110" t="s">
        <v>27</v>
      </c>
      <c r="B15" s="167" t="s">
        <v>591</v>
      </c>
      <c r="C15" s="112">
        <v>4</v>
      </c>
      <c r="D15" s="127">
        <f t="shared" si="0"/>
        <v>4.2</v>
      </c>
      <c r="E15" s="114" t="s">
        <v>692</v>
      </c>
      <c r="F15" s="112" t="s">
        <v>1035</v>
      </c>
      <c r="G15" s="112" t="s">
        <v>1035</v>
      </c>
      <c r="H15" s="112">
        <v>3</v>
      </c>
      <c r="I15" s="112">
        <v>1</v>
      </c>
      <c r="J15" s="111">
        <v>10</v>
      </c>
      <c r="K15" s="112">
        <v>200</v>
      </c>
      <c r="L15" s="112">
        <v>10</v>
      </c>
      <c r="M15" s="112">
        <v>50</v>
      </c>
      <c r="N15" s="166"/>
      <c r="O15" s="181">
        <v>13546.2</v>
      </c>
      <c r="P15" s="165"/>
      <c r="Q15" s="181">
        <v>437.3</v>
      </c>
      <c r="R15" s="181">
        <v>777.1</v>
      </c>
      <c r="S15" s="181">
        <v>195.3</v>
      </c>
      <c r="T15" s="179"/>
      <c r="U15" s="179"/>
      <c r="V15" s="179"/>
      <c r="W15" s="179"/>
    </row>
    <row r="16" spans="1:23" ht="12.75">
      <c r="A16" s="110" t="s">
        <v>28</v>
      </c>
      <c r="B16" s="167" t="s">
        <v>591</v>
      </c>
      <c r="C16" s="112">
        <v>4</v>
      </c>
      <c r="D16" s="127">
        <f t="shared" si="0"/>
        <v>4.2</v>
      </c>
      <c r="E16" s="114" t="s">
        <v>692</v>
      </c>
      <c r="F16" s="112" t="s">
        <v>1035</v>
      </c>
      <c r="G16" s="112" t="s">
        <v>1035</v>
      </c>
      <c r="H16" s="112">
        <v>3</v>
      </c>
      <c r="I16" s="112">
        <v>1</v>
      </c>
      <c r="J16" s="111">
        <v>10</v>
      </c>
      <c r="K16" s="112">
        <v>200</v>
      </c>
      <c r="L16" s="112">
        <v>10</v>
      </c>
      <c r="M16" s="112">
        <v>50</v>
      </c>
      <c r="N16" s="166"/>
      <c r="O16" s="181">
        <v>13409.1</v>
      </c>
      <c r="P16" s="166"/>
      <c r="Q16" s="181">
        <v>497.8</v>
      </c>
      <c r="R16" s="181">
        <v>567.4</v>
      </c>
      <c r="S16" s="181">
        <v>256.10000000000002</v>
      </c>
      <c r="T16" s="179"/>
      <c r="U16" s="179"/>
      <c r="V16" s="179"/>
      <c r="W16" s="179"/>
    </row>
    <row r="17" spans="1:23" ht="12.75">
      <c r="A17" s="110" t="s">
        <v>29</v>
      </c>
      <c r="B17" s="167" t="s">
        <v>1035</v>
      </c>
      <c r="C17" s="112">
        <v>4</v>
      </c>
      <c r="D17" s="127">
        <f t="shared" si="0"/>
        <v>4.2</v>
      </c>
      <c r="E17" s="114" t="s">
        <v>692</v>
      </c>
      <c r="F17" s="112" t="s">
        <v>1035</v>
      </c>
      <c r="G17" s="112" t="s">
        <v>1035</v>
      </c>
      <c r="H17" s="1">
        <v>3</v>
      </c>
      <c r="I17" s="112">
        <v>1</v>
      </c>
      <c r="J17" s="111">
        <v>10</v>
      </c>
      <c r="K17" s="112">
        <v>200</v>
      </c>
      <c r="L17" s="112">
        <v>10</v>
      </c>
      <c r="M17" s="112">
        <v>50</v>
      </c>
      <c r="N17" s="166"/>
      <c r="O17" s="181">
        <v>11618.1</v>
      </c>
      <c r="P17" s="179"/>
      <c r="Q17" s="181">
        <v>409.2</v>
      </c>
      <c r="R17" s="181">
        <v>1162.9000000000001</v>
      </c>
      <c r="S17" s="181">
        <v>62.4</v>
      </c>
      <c r="T17" s="179"/>
      <c r="U17" s="179"/>
      <c r="V17" s="179"/>
      <c r="W17" s="179"/>
    </row>
    <row r="18" spans="1:23" ht="12.75">
      <c r="A18" s="110" t="s">
        <v>30</v>
      </c>
      <c r="B18" s="167" t="s">
        <v>1035</v>
      </c>
      <c r="C18" s="112">
        <v>4</v>
      </c>
      <c r="D18" s="127">
        <f t="shared" si="0"/>
        <v>4.2</v>
      </c>
      <c r="E18" s="114" t="s">
        <v>692</v>
      </c>
      <c r="F18" s="112" t="s">
        <v>1035</v>
      </c>
      <c r="G18" s="112" t="s">
        <v>1035</v>
      </c>
      <c r="H18" s="1">
        <v>3</v>
      </c>
      <c r="I18" s="112">
        <v>1</v>
      </c>
      <c r="J18" s="111">
        <v>10</v>
      </c>
      <c r="K18" s="112">
        <v>200</v>
      </c>
      <c r="L18" s="112">
        <v>10</v>
      </c>
      <c r="M18" s="112">
        <v>50</v>
      </c>
      <c r="N18" s="166"/>
      <c r="O18" s="181">
        <v>11867</v>
      </c>
      <c r="P18" s="179"/>
      <c r="Q18" s="181">
        <v>396.7</v>
      </c>
      <c r="R18" s="181">
        <v>1185.4000000000001</v>
      </c>
      <c r="S18" s="181">
        <v>63.1</v>
      </c>
      <c r="T18" s="179"/>
      <c r="U18" s="179"/>
      <c r="V18" s="179"/>
      <c r="W18" s="179"/>
    </row>
    <row r="19" spans="1:23" ht="12.75">
      <c r="A19" s="110" t="s">
        <v>31</v>
      </c>
      <c r="B19" s="167" t="s">
        <v>591</v>
      </c>
      <c r="C19" s="112">
        <v>4</v>
      </c>
      <c r="D19" s="127">
        <f t="shared" si="0"/>
        <v>4.2</v>
      </c>
      <c r="E19" s="114" t="s">
        <v>692</v>
      </c>
      <c r="F19" s="112" t="s">
        <v>1035</v>
      </c>
      <c r="G19" s="112" t="s">
        <v>1035</v>
      </c>
      <c r="H19" s="1">
        <v>4</v>
      </c>
      <c r="I19" s="112">
        <v>1</v>
      </c>
      <c r="J19" s="111">
        <v>10</v>
      </c>
      <c r="K19" s="112">
        <v>200</v>
      </c>
      <c r="L19" s="112">
        <v>10</v>
      </c>
      <c r="M19" s="112">
        <v>50</v>
      </c>
      <c r="N19" s="166"/>
      <c r="O19" s="181">
        <v>13313.1</v>
      </c>
      <c r="P19" s="179"/>
      <c r="Q19" s="181">
        <v>507.3</v>
      </c>
      <c r="R19" s="181">
        <v>506.1</v>
      </c>
      <c r="S19" s="181">
        <v>261</v>
      </c>
      <c r="T19" s="179"/>
      <c r="U19" s="179"/>
      <c r="V19" s="179"/>
      <c r="W19" s="179"/>
    </row>
    <row r="20" spans="1:23" ht="12.75">
      <c r="A20" s="110" t="s">
        <v>32</v>
      </c>
      <c r="B20" s="167" t="s">
        <v>591</v>
      </c>
      <c r="C20" s="112">
        <v>4</v>
      </c>
      <c r="D20" s="127">
        <f t="shared" si="0"/>
        <v>4.2</v>
      </c>
      <c r="E20" s="114" t="s">
        <v>692</v>
      </c>
      <c r="F20" s="112" t="s">
        <v>1035</v>
      </c>
      <c r="G20" s="112" t="s">
        <v>1035</v>
      </c>
      <c r="H20" s="1">
        <v>4</v>
      </c>
      <c r="I20" s="112">
        <v>1</v>
      </c>
      <c r="J20" s="111">
        <v>10</v>
      </c>
      <c r="K20" s="112">
        <v>200</v>
      </c>
      <c r="L20" s="112">
        <v>10</v>
      </c>
      <c r="M20" s="112">
        <v>50</v>
      </c>
      <c r="N20" s="166"/>
      <c r="O20" s="181">
        <v>13869.8</v>
      </c>
      <c r="P20" s="179"/>
      <c r="Q20" s="181">
        <v>522.9</v>
      </c>
      <c r="R20" s="181">
        <v>466.9</v>
      </c>
      <c r="S20" s="181">
        <v>282.39999999999998</v>
      </c>
      <c r="T20" s="179"/>
      <c r="U20" s="179"/>
      <c r="V20" s="179"/>
      <c r="W20" s="179"/>
    </row>
    <row r="21" spans="1:23" ht="12.75">
      <c r="A21" s="110" t="s">
        <v>34</v>
      </c>
      <c r="B21" s="167" t="s">
        <v>1035</v>
      </c>
      <c r="C21" s="112">
        <v>4</v>
      </c>
      <c r="D21" s="127">
        <f t="shared" si="0"/>
        <v>4.2</v>
      </c>
      <c r="E21" s="114" t="s">
        <v>692</v>
      </c>
      <c r="F21" s="112" t="s">
        <v>1035</v>
      </c>
      <c r="G21" s="112" t="s">
        <v>1035</v>
      </c>
      <c r="H21" s="1">
        <v>4</v>
      </c>
      <c r="I21" s="112">
        <v>1</v>
      </c>
      <c r="J21" s="111">
        <v>10</v>
      </c>
      <c r="K21" s="112">
        <v>200</v>
      </c>
      <c r="L21" s="112">
        <v>10</v>
      </c>
      <c r="M21" s="112">
        <v>50</v>
      </c>
      <c r="N21" s="166"/>
      <c r="O21" s="181">
        <v>11488</v>
      </c>
      <c r="P21" s="179"/>
      <c r="Q21" s="181">
        <v>413.5</v>
      </c>
      <c r="R21" s="181">
        <v>1111.2</v>
      </c>
      <c r="S21" s="181">
        <v>76.3</v>
      </c>
      <c r="T21" s="179"/>
      <c r="U21" s="179"/>
      <c r="V21" s="179"/>
      <c r="W21" s="179"/>
    </row>
    <row r="22" spans="1:23" ht="12.75">
      <c r="A22" s="110" t="s">
        <v>36</v>
      </c>
      <c r="B22" s="167" t="s">
        <v>1035</v>
      </c>
      <c r="C22" s="112">
        <v>4</v>
      </c>
      <c r="D22" s="127">
        <f t="shared" si="0"/>
        <v>4.2</v>
      </c>
      <c r="E22" s="114" t="s">
        <v>692</v>
      </c>
      <c r="F22" s="112" t="s">
        <v>1035</v>
      </c>
      <c r="G22" s="112" t="s">
        <v>1035</v>
      </c>
      <c r="H22" s="1">
        <v>4</v>
      </c>
      <c r="I22" s="112">
        <v>1</v>
      </c>
      <c r="J22" s="111">
        <v>10</v>
      </c>
      <c r="K22" s="112">
        <v>200</v>
      </c>
      <c r="L22" s="112">
        <v>10</v>
      </c>
      <c r="M22" s="112">
        <v>50</v>
      </c>
      <c r="N22" s="166"/>
      <c r="O22" s="181">
        <v>11959.2</v>
      </c>
      <c r="P22" s="179"/>
      <c r="Q22" s="181">
        <v>420.7</v>
      </c>
      <c r="R22" s="181">
        <v>1137.9000000000001</v>
      </c>
      <c r="S22" s="181">
        <v>79</v>
      </c>
      <c r="T22" s="179"/>
      <c r="U22" s="179"/>
      <c r="V22" s="179"/>
      <c r="W22" s="179"/>
    </row>
    <row r="23" spans="1:23" ht="12.75">
      <c r="A23" s="110" t="s">
        <v>1146</v>
      </c>
      <c r="B23" s="167" t="s">
        <v>591</v>
      </c>
      <c r="C23" s="112">
        <v>4</v>
      </c>
      <c r="D23" s="127">
        <f t="shared" si="0"/>
        <v>4.2</v>
      </c>
      <c r="E23" s="114" t="s">
        <v>692</v>
      </c>
      <c r="F23" s="112" t="s">
        <v>1035</v>
      </c>
      <c r="G23" s="112" t="s">
        <v>1035</v>
      </c>
      <c r="H23" s="1">
        <v>5.25</v>
      </c>
      <c r="I23" s="112">
        <v>1</v>
      </c>
      <c r="J23" s="111">
        <v>10</v>
      </c>
      <c r="K23" s="112">
        <v>200</v>
      </c>
      <c r="L23" s="112">
        <v>10</v>
      </c>
      <c r="M23" s="112">
        <v>50</v>
      </c>
      <c r="N23" s="166"/>
      <c r="O23" s="181">
        <v>14252</v>
      </c>
      <c r="P23" s="179"/>
      <c r="Q23" s="181">
        <v>601</v>
      </c>
      <c r="R23" s="181">
        <v>231.6</v>
      </c>
      <c r="S23" s="181">
        <v>387.9</v>
      </c>
      <c r="T23" s="179"/>
      <c r="U23" s="179"/>
      <c r="V23" s="179"/>
      <c r="W23" s="179"/>
    </row>
    <row r="24" spans="1:23" ht="12.75">
      <c r="A24" s="110" t="s">
        <v>782</v>
      </c>
      <c r="B24" s="167" t="s">
        <v>591</v>
      </c>
      <c r="C24" s="112">
        <v>4</v>
      </c>
      <c r="D24" s="127">
        <f t="shared" si="0"/>
        <v>4.2</v>
      </c>
      <c r="E24" s="114" t="s">
        <v>692</v>
      </c>
      <c r="F24" s="112" t="s">
        <v>1035</v>
      </c>
      <c r="G24" s="112" t="s">
        <v>1035</v>
      </c>
      <c r="H24" s="1">
        <v>5.25</v>
      </c>
      <c r="I24" s="112">
        <v>1</v>
      </c>
      <c r="J24" s="111">
        <v>10</v>
      </c>
      <c r="K24" s="112">
        <v>200</v>
      </c>
      <c r="L24" s="112">
        <v>10</v>
      </c>
      <c r="M24" s="112">
        <v>50</v>
      </c>
      <c r="N24" s="166"/>
      <c r="O24" s="176">
        <v>14431.9</v>
      </c>
      <c r="P24" s="179"/>
      <c r="Q24" s="176">
        <v>568.5</v>
      </c>
      <c r="R24" s="176">
        <v>274.2</v>
      </c>
      <c r="S24" s="176">
        <v>369</v>
      </c>
      <c r="T24" s="179"/>
      <c r="U24" s="179"/>
      <c r="V24" s="179"/>
      <c r="W24" s="179"/>
    </row>
    <row r="25" spans="1:23" ht="12.75">
      <c r="A25" s="110"/>
      <c r="B25" s="114"/>
      <c r="C25" s="127"/>
      <c r="J25" s="1"/>
      <c r="N25" s="166"/>
      <c r="T25" s="179"/>
      <c r="U25" s="179"/>
      <c r="V25" s="179"/>
      <c r="W25" s="179"/>
    </row>
    <row r="26" spans="1:23" ht="12.75">
      <c r="B26" s="114"/>
      <c r="C26" s="127"/>
      <c r="J26" s="1"/>
      <c r="N26" s="166"/>
      <c r="O26" s="179"/>
      <c r="P26" s="179"/>
      <c r="Q26" s="179"/>
      <c r="R26" s="179"/>
      <c r="S26" s="179"/>
      <c r="T26" s="179"/>
      <c r="U26" s="179"/>
      <c r="V26" s="179"/>
      <c r="W26" s="179"/>
    </row>
    <row r="27" spans="1:23" ht="12.75">
      <c r="B27" s="114"/>
      <c r="C27" s="127"/>
      <c r="J27" s="1"/>
      <c r="N27" s="166"/>
      <c r="O27" s="179"/>
      <c r="P27" s="179"/>
      <c r="Q27" s="179"/>
      <c r="R27" s="179"/>
      <c r="S27" s="179"/>
      <c r="T27" s="179"/>
      <c r="U27" s="179"/>
      <c r="V27" s="179"/>
      <c r="W27" s="179"/>
    </row>
    <row r="28" spans="1:23" ht="12.75">
      <c r="B28" s="114" t="s">
        <v>300</v>
      </c>
      <c r="C28" s="127">
        <f>SUM(C5:C24)</f>
        <v>80</v>
      </c>
      <c r="E28" s="1"/>
      <c r="J28" s="1" t="s">
        <v>1039</v>
      </c>
      <c r="K28">
        <f>SUM(K5:K24)</f>
        <v>4000</v>
      </c>
      <c r="N28" s="166"/>
      <c r="O28" s="180"/>
      <c r="P28" s="180"/>
      <c r="Q28" s="180"/>
      <c r="R28" s="179"/>
      <c r="S28" s="180"/>
      <c r="T28" s="180"/>
      <c r="U28" s="179"/>
      <c r="V28" s="179"/>
      <c r="W28" s="179"/>
    </row>
    <row r="29" spans="1:23" ht="12.75">
      <c r="A29" s="114"/>
      <c r="N29" s="166"/>
      <c r="O29" s="165" t="s">
        <v>816</v>
      </c>
      <c r="P29" s="165" t="s">
        <v>0</v>
      </c>
      <c r="Q29" s="165" t="s">
        <v>1301</v>
      </c>
      <c r="R29" s="179"/>
      <c r="S29" s="165" t="s">
        <v>1197</v>
      </c>
      <c r="T29" s="165" t="s">
        <v>1302</v>
      </c>
      <c r="U29" s="179"/>
      <c r="V29" s="179"/>
      <c r="W29" s="179"/>
    </row>
    <row r="30" spans="1:23" ht="12.75">
      <c r="A30" s="125" t="s">
        <v>1040</v>
      </c>
      <c r="B30" s="1" t="s">
        <v>1041</v>
      </c>
      <c r="K30" s="125" t="s">
        <v>968</v>
      </c>
      <c r="L30" s="114"/>
      <c r="M30" s="114"/>
      <c r="N30" s="166"/>
      <c r="O30" s="176">
        <v>1</v>
      </c>
      <c r="P30" s="165" t="s">
        <v>1303</v>
      </c>
      <c r="Q30" s="181">
        <v>1</v>
      </c>
      <c r="R30" s="179"/>
      <c r="S30" s="176">
        <v>2.6</v>
      </c>
      <c r="T30" s="181">
        <v>2.8</v>
      </c>
      <c r="U30" s="179"/>
      <c r="V30" s="179"/>
      <c r="W30" s="179"/>
    </row>
    <row r="31" spans="1:23" ht="12.75">
      <c r="A31" s="1" t="s">
        <v>1304</v>
      </c>
      <c r="K31" s="114" t="s">
        <v>970</v>
      </c>
      <c r="L31" s="114" t="s">
        <v>47</v>
      </c>
      <c r="M31" s="114" t="s">
        <v>300</v>
      </c>
      <c r="N31" s="166"/>
      <c r="O31" s="181">
        <f t="shared" ref="O31:O87" si="1">O30+1</f>
        <v>2</v>
      </c>
      <c r="P31" s="165" t="s">
        <v>1305</v>
      </c>
      <c r="Q31" s="181">
        <v>2</v>
      </c>
      <c r="R31" s="179"/>
      <c r="S31" s="181">
        <f>5.6+3.1+2.3</f>
        <v>11</v>
      </c>
      <c r="T31" s="181">
        <v>126.4</v>
      </c>
      <c r="U31" s="179"/>
      <c r="V31" s="179"/>
      <c r="W31" s="179"/>
    </row>
    <row r="32" spans="1:23" ht="12.75">
      <c r="A32" s="1" t="s">
        <v>1306</v>
      </c>
      <c r="J32" s="1"/>
      <c r="K32" s="128" t="s">
        <v>1044</v>
      </c>
      <c r="L32" s="126">
        <v>0.3</v>
      </c>
      <c r="N32" s="166"/>
      <c r="O32" s="181">
        <f t="shared" si="1"/>
        <v>3</v>
      </c>
      <c r="P32" s="165" t="s">
        <v>1307</v>
      </c>
      <c r="Q32" s="181">
        <v>3</v>
      </c>
      <c r="R32" s="179"/>
      <c r="S32" s="181">
        <f>49.8+2.1</f>
        <v>51.9</v>
      </c>
      <c r="T32" s="181">
        <v>67.2</v>
      </c>
      <c r="U32" s="179"/>
      <c r="V32" s="179"/>
      <c r="W32" s="179"/>
    </row>
    <row r="33" spans="1:23" ht="12.75">
      <c r="A33" s="1" t="s">
        <v>1308</v>
      </c>
      <c r="K33" s="112">
        <v>1410</v>
      </c>
      <c r="L33" s="127">
        <f>K33/L32-K33</f>
        <v>3290</v>
      </c>
      <c r="M33" s="127">
        <f>SUM(K33:L33)</f>
        <v>4700</v>
      </c>
      <c r="N33" s="166"/>
      <c r="O33" s="181">
        <f t="shared" si="1"/>
        <v>4</v>
      </c>
      <c r="P33" s="165" t="s">
        <v>1309</v>
      </c>
      <c r="Q33" s="181">
        <v>4</v>
      </c>
      <c r="R33" s="179"/>
      <c r="S33" s="181">
        <f>88.2+3.8</f>
        <v>92</v>
      </c>
      <c r="T33" s="181">
        <v>4</v>
      </c>
      <c r="U33" s="179"/>
      <c r="V33" s="179"/>
      <c r="W33" s="179"/>
    </row>
    <row r="34" spans="1:23" ht="12.75">
      <c r="A34" s="1" t="s">
        <v>1310</v>
      </c>
      <c r="J34" s="1"/>
      <c r="K34" s="168" t="s">
        <v>1311</v>
      </c>
      <c r="L34" s="112">
        <v>0.3</v>
      </c>
      <c r="M34" s="127"/>
      <c r="N34" s="166"/>
      <c r="O34" s="181">
        <f t="shared" si="1"/>
        <v>5</v>
      </c>
      <c r="P34" s="165" t="s">
        <v>47</v>
      </c>
      <c r="Q34" s="181">
        <v>5</v>
      </c>
      <c r="R34" s="179"/>
      <c r="S34" s="181">
        <v>0</v>
      </c>
      <c r="T34" s="181">
        <v>0</v>
      </c>
      <c r="U34" s="179"/>
      <c r="V34" s="179"/>
      <c r="W34" s="179"/>
    </row>
    <row r="35" spans="1:23" ht="12.75">
      <c r="A35" s="1" t="s">
        <v>1312</v>
      </c>
      <c r="K35" s="112">
        <v>200</v>
      </c>
      <c r="L35" s="127">
        <f>K35/L34-K35</f>
        <v>466.66666666666674</v>
      </c>
      <c r="M35" s="127">
        <f>SUM(K35:L35)</f>
        <v>666.66666666666674</v>
      </c>
      <c r="N35" s="166"/>
      <c r="O35" s="181">
        <f t="shared" si="1"/>
        <v>6</v>
      </c>
      <c r="P35" s="166" t="s">
        <v>1303</v>
      </c>
      <c r="Q35" s="181">
        <v>1</v>
      </c>
      <c r="R35" s="179"/>
      <c r="S35" s="181">
        <v>1.2</v>
      </c>
      <c r="T35" s="181">
        <v>2.7</v>
      </c>
      <c r="U35" s="179"/>
      <c r="V35" s="179"/>
      <c r="W35" s="179"/>
    </row>
    <row r="36" spans="1:23" ht="12.75">
      <c r="A36" s="1" t="s">
        <v>1313</v>
      </c>
      <c r="J36" s="1"/>
      <c r="K36" s="5"/>
      <c r="L36" s="1"/>
      <c r="N36" s="166"/>
      <c r="O36" s="181">
        <f t="shared" si="1"/>
        <v>7</v>
      </c>
      <c r="P36" s="166" t="s">
        <v>19</v>
      </c>
      <c r="Q36" s="176">
        <v>6</v>
      </c>
      <c r="R36" s="179"/>
      <c r="S36" s="181">
        <v>3</v>
      </c>
      <c r="T36" s="181">
        <v>16.600000000000001</v>
      </c>
      <c r="U36" s="179"/>
      <c r="V36" s="179"/>
      <c r="W36" s="179"/>
    </row>
    <row r="37" spans="1:23" ht="12.75">
      <c r="A37" s="1" t="s">
        <v>1314</v>
      </c>
      <c r="K37" s="112"/>
      <c r="L37" s="127"/>
      <c r="M37" s="127"/>
      <c r="N37" s="166"/>
      <c r="O37" s="181">
        <f t="shared" si="1"/>
        <v>8</v>
      </c>
      <c r="P37" s="166" t="s">
        <v>20</v>
      </c>
      <c r="Q37" s="181">
        <f t="shared" ref="Q37:Q53" si="2">Q36+1</f>
        <v>7</v>
      </c>
      <c r="R37" s="179"/>
      <c r="S37" s="181">
        <v>4.0999999999999996</v>
      </c>
      <c r="T37" s="181">
        <v>29.5</v>
      </c>
      <c r="U37" s="179"/>
      <c r="V37" s="179"/>
      <c r="W37" s="179"/>
    </row>
    <row r="38" spans="1:23" ht="12.75">
      <c r="A38" s="1" t="s">
        <v>1315</v>
      </c>
      <c r="J38" s="1"/>
      <c r="K38" s="5"/>
      <c r="L38" s="1"/>
      <c r="N38" s="166"/>
      <c r="O38" s="181">
        <f t="shared" si="1"/>
        <v>9</v>
      </c>
      <c r="P38" s="166" t="s">
        <v>21</v>
      </c>
      <c r="Q38" s="181">
        <f t="shared" si="2"/>
        <v>8</v>
      </c>
      <c r="R38" s="179"/>
      <c r="S38" s="181">
        <v>6.7</v>
      </c>
      <c r="T38" s="181">
        <v>60</v>
      </c>
      <c r="U38" s="179"/>
      <c r="V38" s="179"/>
      <c r="W38" s="179"/>
    </row>
    <row r="39" spans="1:23" ht="12.75">
      <c r="K39" s="112"/>
      <c r="L39" s="127"/>
      <c r="M39" s="127"/>
      <c r="N39" s="166"/>
      <c r="O39" s="181">
        <f t="shared" si="1"/>
        <v>10</v>
      </c>
      <c r="P39" s="165" t="s">
        <v>22</v>
      </c>
      <c r="Q39" s="181">
        <f t="shared" si="2"/>
        <v>9</v>
      </c>
      <c r="R39" s="179"/>
      <c r="S39" s="181">
        <v>7.1</v>
      </c>
      <c r="T39" s="181">
        <v>63.5</v>
      </c>
      <c r="U39" s="179"/>
      <c r="V39" s="179"/>
      <c r="W39" s="179"/>
    </row>
    <row r="40" spans="1:23" ht="12.75">
      <c r="N40" s="166"/>
      <c r="O40" s="181">
        <f t="shared" si="1"/>
        <v>11</v>
      </c>
      <c r="P40" s="165" t="s">
        <v>23</v>
      </c>
      <c r="Q40" s="181">
        <f t="shared" si="2"/>
        <v>10</v>
      </c>
      <c r="R40" s="179"/>
      <c r="S40" s="181">
        <v>6.6</v>
      </c>
      <c r="T40" s="181">
        <v>60.7</v>
      </c>
      <c r="U40" s="179"/>
      <c r="V40" s="179"/>
      <c r="W40" s="179"/>
    </row>
    <row r="41" spans="1:23" ht="12.75">
      <c r="N41" s="166"/>
      <c r="O41" s="181">
        <f t="shared" si="1"/>
        <v>12</v>
      </c>
      <c r="P41" s="165" t="s">
        <v>24</v>
      </c>
      <c r="Q41" s="181">
        <f t="shared" si="2"/>
        <v>11</v>
      </c>
      <c r="R41" s="179"/>
      <c r="S41" s="181">
        <v>4.9000000000000004</v>
      </c>
      <c r="T41" s="181">
        <v>50.1</v>
      </c>
      <c r="U41" s="179"/>
      <c r="V41" s="179"/>
      <c r="W41" s="179"/>
    </row>
    <row r="42" spans="1:23" ht="12.75">
      <c r="N42" s="166"/>
      <c r="O42" s="181">
        <f t="shared" si="1"/>
        <v>13</v>
      </c>
      <c r="P42" s="165" t="s">
        <v>25</v>
      </c>
      <c r="Q42" s="181">
        <f t="shared" si="2"/>
        <v>12</v>
      </c>
      <c r="R42" s="179"/>
      <c r="S42" s="181">
        <f>13+1</f>
        <v>14</v>
      </c>
      <c r="T42" s="181">
        <v>87.1</v>
      </c>
      <c r="U42" s="179"/>
      <c r="V42" s="179"/>
      <c r="W42" s="179"/>
    </row>
    <row r="43" spans="1:23" ht="12.75">
      <c r="N43" s="166"/>
      <c r="O43" s="181">
        <f t="shared" si="1"/>
        <v>14</v>
      </c>
      <c r="P43" s="165" t="s">
        <v>26</v>
      </c>
      <c r="Q43" s="181">
        <f t="shared" si="2"/>
        <v>13</v>
      </c>
      <c r="R43" s="179"/>
      <c r="S43" s="181">
        <v>11.3</v>
      </c>
      <c r="T43" s="181">
        <v>86.6</v>
      </c>
      <c r="U43" s="179"/>
      <c r="V43" s="179"/>
      <c r="W43" s="179"/>
    </row>
    <row r="44" spans="1:23" ht="12.75">
      <c r="N44" s="166"/>
      <c r="O44" s="181">
        <f t="shared" si="1"/>
        <v>15</v>
      </c>
      <c r="P44" s="165" t="s">
        <v>27</v>
      </c>
      <c r="Q44" s="181">
        <f t="shared" si="2"/>
        <v>14</v>
      </c>
      <c r="R44" s="179"/>
      <c r="S44" s="176">
        <v>7</v>
      </c>
      <c r="T44" s="181">
        <v>106.8</v>
      </c>
      <c r="U44" s="179"/>
      <c r="V44" s="179"/>
      <c r="W44" s="180"/>
    </row>
    <row r="45" spans="1:23" ht="12.75">
      <c r="N45" s="166"/>
      <c r="O45" s="181">
        <f t="shared" si="1"/>
        <v>16</v>
      </c>
      <c r="P45" s="165" t="s">
        <v>28</v>
      </c>
      <c r="Q45" s="181">
        <f t="shared" si="2"/>
        <v>15</v>
      </c>
      <c r="R45" s="179"/>
      <c r="S45" s="181">
        <f>13.2+1.1</f>
        <v>14.299999999999999</v>
      </c>
      <c r="T45" s="181">
        <v>173.3</v>
      </c>
      <c r="U45" s="179"/>
      <c r="V45" s="179"/>
      <c r="W45" s="166" t="s">
        <v>1316</v>
      </c>
    </row>
    <row r="46" spans="1:23" ht="12.75">
      <c r="N46" s="166"/>
      <c r="O46" s="181">
        <f t="shared" si="1"/>
        <v>17</v>
      </c>
      <c r="P46" s="165" t="s">
        <v>29</v>
      </c>
      <c r="Q46" s="181">
        <f t="shared" si="2"/>
        <v>16</v>
      </c>
      <c r="R46" s="179"/>
      <c r="S46" s="176">
        <v>15.5</v>
      </c>
      <c r="T46" s="181">
        <v>107.7</v>
      </c>
      <c r="U46" s="179"/>
      <c r="V46" s="179"/>
      <c r="W46" s="179"/>
    </row>
    <row r="47" spans="1:23" ht="12.75">
      <c r="N47" s="166"/>
      <c r="O47" s="181">
        <f t="shared" si="1"/>
        <v>18</v>
      </c>
      <c r="P47" s="165" t="s">
        <v>30</v>
      </c>
      <c r="Q47" s="181">
        <f t="shared" si="2"/>
        <v>17</v>
      </c>
      <c r="R47" s="179"/>
      <c r="S47" s="181">
        <f>14.9+1.3+1.8+1.7</f>
        <v>19.7</v>
      </c>
      <c r="T47" s="181">
        <v>109.2</v>
      </c>
      <c r="U47" s="179"/>
      <c r="V47" s="179"/>
      <c r="W47" s="179"/>
    </row>
    <row r="48" spans="1:23" ht="12.75">
      <c r="N48" s="166"/>
      <c r="O48" s="181">
        <f t="shared" si="1"/>
        <v>19</v>
      </c>
      <c r="P48" s="165" t="s">
        <v>31</v>
      </c>
      <c r="Q48" s="181">
        <f t="shared" si="2"/>
        <v>18</v>
      </c>
      <c r="R48" s="179"/>
      <c r="S48" s="176">
        <v>12</v>
      </c>
      <c r="T48" s="181">
        <v>179.7</v>
      </c>
      <c r="U48" s="179"/>
      <c r="V48" s="179"/>
      <c r="W48" s="179"/>
    </row>
    <row r="49" spans="14:23" ht="12.75">
      <c r="N49" s="166"/>
      <c r="O49" s="181">
        <f t="shared" si="1"/>
        <v>20</v>
      </c>
      <c r="P49" s="165" t="s">
        <v>32</v>
      </c>
      <c r="Q49" s="181">
        <f t="shared" si="2"/>
        <v>19</v>
      </c>
      <c r="R49" s="179"/>
      <c r="S49" s="181">
        <f>10.6+1.9</f>
        <v>12.5</v>
      </c>
      <c r="T49" s="181">
        <v>183.6</v>
      </c>
      <c r="U49" s="179"/>
      <c r="V49" s="179"/>
      <c r="W49" s="179"/>
    </row>
    <row r="50" spans="14:23" ht="12.75">
      <c r="N50" s="166"/>
      <c r="O50" s="181">
        <f t="shared" si="1"/>
        <v>21</v>
      </c>
      <c r="P50" s="165" t="s">
        <v>34</v>
      </c>
      <c r="Q50" s="181">
        <f t="shared" si="2"/>
        <v>20</v>
      </c>
      <c r="R50" s="179"/>
      <c r="S50" s="181">
        <f>17.5+3.7+1.2</f>
        <v>22.4</v>
      </c>
      <c r="T50" s="181">
        <v>125.3</v>
      </c>
      <c r="U50" s="179"/>
      <c r="V50" s="179"/>
      <c r="W50" s="179"/>
    </row>
    <row r="51" spans="14:23" ht="12.75">
      <c r="N51" s="166"/>
      <c r="O51" s="181">
        <f t="shared" si="1"/>
        <v>22</v>
      </c>
      <c r="P51" s="165" t="s">
        <v>36</v>
      </c>
      <c r="Q51" s="181">
        <f t="shared" si="2"/>
        <v>21</v>
      </c>
      <c r="R51" s="179"/>
      <c r="S51" s="181">
        <f>16.8+2.8</f>
        <v>19.600000000000001</v>
      </c>
      <c r="T51" s="176">
        <v>97</v>
      </c>
      <c r="U51" s="179"/>
      <c r="V51" s="179"/>
      <c r="W51" s="179"/>
    </row>
    <row r="52" spans="14:23" ht="12.75">
      <c r="N52" s="166"/>
      <c r="O52" s="181">
        <f t="shared" si="1"/>
        <v>23</v>
      </c>
      <c r="P52" s="165" t="s">
        <v>1146</v>
      </c>
      <c r="Q52" s="181">
        <f t="shared" si="2"/>
        <v>22</v>
      </c>
      <c r="R52" s="179"/>
      <c r="S52" s="181">
        <f>13.3+4.7+3.1</f>
        <v>21.1</v>
      </c>
      <c r="T52" s="181">
        <f>214.6+1+2</f>
        <v>217.6</v>
      </c>
      <c r="U52" s="179"/>
      <c r="V52" s="179"/>
      <c r="W52" s="179"/>
    </row>
    <row r="53" spans="14:23" ht="12.75">
      <c r="N53" s="166"/>
      <c r="O53" s="181">
        <f t="shared" si="1"/>
        <v>24</v>
      </c>
      <c r="P53" s="165" t="s">
        <v>782</v>
      </c>
      <c r="Q53" s="181">
        <f t="shared" si="2"/>
        <v>23</v>
      </c>
      <c r="R53" s="179"/>
      <c r="S53" s="181">
        <f>9.1+1.5</f>
        <v>10.6</v>
      </c>
      <c r="T53" s="181">
        <f>193.7+1</f>
        <v>194.7</v>
      </c>
      <c r="U53" s="179"/>
      <c r="V53" s="179"/>
      <c r="W53" s="179"/>
    </row>
    <row r="54" spans="14:23" ht="12.75">
      <c r="N54" s="166"/>
      <c r="O54" s="181">
        <f t="shared" si="1"/>
        <v>25</v>
      </c>
      <c r="P54" s="165" t="s">
        <v>1317</v>
      </c>
      <c r="Q54" s="181">
        <v>24</v>
      </c>
      <c r="R54" s="179"/>
      <c r="S54" s="181">
        <f>7.9+4.1+6.6</f>
        <v>18.600000000000001</v>
      </c>
      <c r="T54" s="181">
        <v>42</v>
      </c>
      <c r="U54" s="179"/>
      <c r="V54" s="179"/>
      <c r="W54" s="179"/>
    </row>
    <row r="55" spans="14:23" ht="12.75">
      <c r="N55" s="166"/>
      <c r="O55" s="181">
        <f t="shared" si="1"/>
        <v>26</v>
      </c>
      <c r="P55" s="165" t="s">
        <v>1318</v>
      </c>
      <c r="Q55" s="181">
        <v>25</v>
      </c>
      <c r="R55" s="179"/>
      <c r="S55" s="181">
        <f>6+1.6</f>
        <v>7.6</v>
      </c>
      <c r="T55" s="176">
        <v>42.9</v>
      </c>
      <c r="U55" s="179"/>
      <c r="V55" s="179"/>
      <c r="W55" s="179"/>
    </row>
    <row r="56" spans="14:23" ht="12.75">
      <c r="N56" s="166"/>
      <c r="O56" s="181">
        <f t="shared" si="1"/>
        <v>27</v>
      </c>
      <c r="P56" s="165" t="s">
        <v>1303</v>
      </c>
      <c r="Q56" s="181">
        <v>1</v>
      </c>
      <c r="R56" s="179"/>
      <c r="S56" s="176">
        <v>2</v>
      </c>
      <c r="T56" s="181">
        <f>3.1+1.9</f>
        <v>5</v>
      </c>
      <c r="U56" s="179"/>
      <c r="V56" s="179"/>
      <c r="W56" s="179"/>
    </row>
    <row r="57" spans="14:23" ht="12.75">
      <c r="N57" s="166"/>
      <c r="O57" s="181">
        <f t="shared" si="1"/>
        <v>28</v>
      </c>
      <c r="P57" s="165" t="s">
        <v>1305</v>
      </c>
      <c r="Q57" s="181">
        <v>2</v>
      </c>
      <c r="R57" s="179"/>
      <c r="S57" s="181">
        <f>5.9+1.7</f>
        <v>7.6000000000000005</v>
      </c>
      <c r="T57" s="176">
        <v>124.1</v>
      </c>
      <c r="U57" s="179"/>
      <c r="V57" s="179"/>
      <c r="W57" s="179"/>
    </row>
    <row r="58" spans="14:23" ht="12.75">
      <c r="N58" s="166"/>
      <c r="O58" s="181">
        <f t="shared" si="1"/>
        <v>29</v>
      </c>
      <c r="P58" s="165" t="s">
        <v>1307</v>
      </c>
      <c r="Q58" s="181">
        <v>3</v>
      </c>
      <c r="R58" s="179"/>
      <c r="S58" s="181">
        <f>49+4.4</f>
        <v>53.4</v>
      </c>
      <c r="T58" s="181">
        <f>65.9+1.2</f>
        <v>67.100000000000009</v>
      </c>
      <c r="U58" s="179"/>
      <c r="V58" s="179"/>
      <c r="W58" s="179"/>
    </row>
    <row r="59" spans="14:23" ht="12.75">
      <c r="N59" s="166"/>
      <c r="O59" s="181">
        <f t="shared" si="1"/>
        <v>30</v>
      </c>
      <c r="P59" s="165" t="s">
        <v>1309</v>
      </c>
      <c r="Q59" s="181">
        <v>4</v>
      </c>
      <c r="R59" s="179"/>
      <c r="S59" s="181">
        <f>82.5+2.5+7.8+2.2</f>
        <v>95</v>
      </c>
      <c r="T59" s="181">
        <v>4</v>
      </c>
      <c r="U59" s="179"/>
      <c r="V59" s="179"/>
      <c r="W59" s="179"/>
    </row>
    <row r="60" spans="14:23" ht="12.75">
      <c r="N60" s="166"/>
      <c r="O60" s="181">
        <f t="shared" si="1"/>
        <v>31</v>
      </c>
      <c r="P60" s="165" t="s">
        <v>47</v>
      </c>
      <c r="Q60" s="181">
        <v>5</v>
      </c>
      <c r="R60" s="179"/>
      <c r="S60" s="181">
        <f>3.8+3.5</f>
        <v>7.3</v>
      </c>
      <c r="T60" s="181">
        <v>0</v>
      </c>
      <c r="U60" s="179"/>
      <c r="V60" s="179"/>
      <c r="W60" s="179"/>
    </row>
    <row r="61" spans="14:23" ht="12.75">
      <c r="N61" s="166"/>
      <c r="O61" s="181">
        <f t="shared" si="1"/>
        <v>32</v>
      </c>
      <c r="P61" s="166" t="s">
        <v>1303</v>
      </c>
      <c r="Q61" s="181">
        <v>1</v>
      </c>
      <c r="R61" s="179"/>
      <c r="S61" s="181">
        <f>2.3+1.2</f>
        <v>3.5</v>
      </c>
      <c r="T61" s="176">
        <v>2.8</v>
      </c>
      <c r="U61" s="179"/>
      <c r="V61" s="179"/>
      <c r="W61" s="179"/>
    </row>
    <row r="62" spans="14:23" ht="12.75">
      <c r="N62" s="166"/>
      <c r="O62" s="181">
        <f t="shared" si="1"/>
        <v>33</v>
      </c>
      <c r="P62" s="166" t="s">
        <v>19</v>
      </c>
      <c r="Q62" s="176">
        <v>6</v>
      </c>
      <c r="R62" s="179"/>
      <c r="S62" s="181">
        <f>3+1.6</f>
        <v>4.5999999999999996</v>
      </c>
      <c r="T62" s="181">
        <f>16.3+1.3</f>
        <v>17.600000000000001</v>
      </c>
      <c r="U62" s="179"/>
      <c r="V62" s="179"/>
      <c r="W62" s="179"/>
    </row>
    <row r="63" spans="14:23" ht="12.75">
      <c r="N63" s="166"/>
      <c r="O63" s="181">
        <f t="shared" si="1"/>
        <v>34</v>
      </c>
      <c r="P63" s="166" t="s">
        <v>20</v>
      </c>
      <c r="Q63" s="181">
        <f t="shared" ref="Q63:Q79" si="3">Q62+1</f>
        <v>7</v>
      </c>
      <c r="R63" s="179"/>
      <c r="S63" s="181">
        <v>3.4</v>
      </c>
      <c r="T63" s="181">
        <f>31.1+1.4+1.3+1.5</f>
        <v>35.299999999999997</v>
      </c>
      <c r="U63" s="179"/>
      <c r="V63" s="179"/>
      <c r="W63" s="179"/>
    </row>
    <row r="64" spans="14:23" ht="12.75">
      <c r="N64" s="166"/>
      <c r="O64" s="181">
        <f t="shared" si="1"/>
        <v>35</v>
      </c>
      <c r="P64" s="166" t="s">
        <v>21</v>
      </c>
      <c r="Q64" s="181">
        <f t="shared" si="3"/>
        <v>8</v>
      </c>
      <c r="R64" s="179"/>
      <c r="S64" s="176">
        <v>5.6</v>
      </c>
      <c r="T64" s="181">
        <v>59.3</v>
      </c>
      <c r="U64" s="179"/>
      <c r="V64" s="179"/>
      <c r="W64" s="179"/>
    </row>
    <row r="65" spans="14:23" ht="12.75">
      <c r="N65" s="166"/>
      <c r="O65" s="181">
        <f t="shared" si="1"/>
        <v>36</v>
      </c>
      <c r="P65" s="165" t="s">
        <v>22</v>
      </c>
      <c r="Q65" s="181">
        <f t="shared" si="3"/>
        <v>9</v>
      </c>
      <c r="R65" s="179"/>
      <c r="S65" s="181">
        <f>1+10.4+2.3+2.3+4</f>
        <v>20</v>
      </c>
      <c r="T65" s="181">
        <v>62.8</v>
      </c>
      <c r="U65" s="179"/>
      <c r="V65" s="179"/>
      <c r="W65" s="179"/>
    </row>
    <row r="66" spans="14:23" ht="12.75">
      <c r="N66" s="166"/>
      <c r="O66" s="181">
        <f t="shared" si="1"/>
        <v>37</v>
      </c>
      <c r="P66" s="165" t="s">
        <v>23</v>
      </c>
      <c r="Q66" s="181">
        <f t="shared" si="3"/>
        <v>10</v>
      </c>
      <c r="R66" s="179"/>
      <c r="S66" s="176">
        <v>4.8</v>
      </c>
      <c r="T66" s="181">
        <v>60.2</v>
      </c>
      <c r="U66" s="179"/>
      <c r="V66" s="179"/>
      <c r="W66" s="179"/>
    </row>
    <row r="67" spans="14:23" ht="12.75">
      <c r="N67" s="166"/>
      <c r="O67" s="181">
        <f t="shared" si="1"/>
        <v>38</v>
      </c>
      <c r="P67" s="165" t="s">
        <v>24</v>
      </c>
      <c r="Q67" s="181">
        <f t="shared" si="3"/>
        <v>11</v>
      </c>
      <c r="R67" s="179"/>
      <c r="S67" s="181">
        <f>1.1+6.3+1.6+1.7+2.5+2.3+4.2</f>
        <v>19.7</v>
      </c>
      <c r="T67" s="181">
        <v>49.7</v>
      </c>
      <c r="U67" s="179"/>
      <c r="V67" s="179"/>
      <c r="W67" s="179"/>
    </row>
    <row r="68" spans="14:23" ht="12.75">
      <c r="N68" s="166"/>
      <c r="O68" s="181">
        <f t="shared" si="1"/>
        <v>39</v>
      </c>
      <c r="P68" s="165" t="s">
        <v>25</v>
      </c>
      <c r="Q68" s="181">
        <f t="shared" si="3"/>
        <v>12</v>
      </c>
      <c r="R68" s="179"/>
      <c r="S68" s="176">
        <v>9.6</v>
      </c>
      <c r="T68" s="176">
        <v>85.4</v>
      </c>
      <c r="U68" s="179"/>
      <c r="V68" s="179"/>
      <c r="W68" s="179"/>
    </row>
    <row r="69" spans="14:23" ht="12.75">
      <c r="N69" s="166"/>
      <c r="O69" s="181">
        <f t="shared" si="1"/>
        <v>40</v>
      </c>
      <c r="P69" s="165" t="s">
        <v>26</v>
      </c>
      <c r="Q69" s="181">
        <f t="shared" si="3"/>
        <v>13</v>
      </c>
      <c r="R69" s="179"/>
      <c r="S69" s="181">
        <f>11.4+1.8</f>
        <v>13.200000000000001</v>
      </c>
      <c r="T69" s="181">
        <f>86.3+1.2</f>
        <v>87.5</v>
      </c>
      <c r="U69" s="179"/>
      <c r="V69" s="179"/>
      <c r="W69" s="179"/>
    </row>
    <row r="70" spans="14:23" ht="12.75">
      <c r="N70" s="166"/>
      <c r="O70" s="181">
        <f t="shared" si="1"/>
        <v>41</v>
      </c>
      <c r="P70" s="165" t="s">
        <v>27</v>
      </c>
      <c r="Q70" s="181">
        <f t="shared" si="3"/>
        <v>14</v>
      </c>
      <c r="R70" s="179"/>
      <c r="S70" s="181">
        <f>1.3+10.3+3.1+1.6+1.6+6.5</f>
        <v>24.400000000000002</v>
      </c>
      <c r="T70" s="181">
        <f>105.1+1.3</f>
        <v>106.39999999999999</v>
      </c>
      <c r="U70" s="179"/>
      <c r="V70" s="179"/>
      <c r="W70" s="179"/>
    </row>
    <row r="71" spans="14:23" ht="12.75">
      <c r="N71" s="166"/>
      <c r="O71" s="181">
        <f t="shared" si="1"/>
        <v>42</v>
      </c>
      <c r="P71" s="165" t="s">
        <v>28</v>
      </c>
      <c r="Q71" s="181">
        <f t="shared" si="3"/>
        <v>15</v>
      </c>
      <c r="R71" s="179"/>
      <c r="S71" s="176">
        <v>9.4</v>
      </c>
      <c r="T71" s="181">
        <v>170.1</v>
      </c>
      <c r="U71" s="179"/>
      <c r="V71" s="179"/>
      <c r="W71" s="179"/>
    </row>
    <row r="72" spans="14:23" ht="12.75">
      <c r="N72" s="166"/>
      <c r="O72" s="181">
        <f t="shared" si="1"/>
        <v>43</v>
      </c>
      <c r="P72" s="165" t="s">
        <v>29</v>
      </c>
      <c r="Q72" s="181">
        <f t="shared" si="3"/>
        <v>16</v>
      </c>
      <c r="R72" s="179"/>
      <c r="S72" s="181">
        <f>14+2.6</f>
        <v>16.600000000000001</v>
      </c>
      <c r="T72" s="176">
        <v>106.2</v>
      </c>
      <c r="U72" s="179"/>
      <c r="V72" s="179"/>
      <c r="W72" s="179"/>
    </row>
    <row r="73" spans="14:23" ht="21" customHeight="1">
      <c r="N73" s="166"/>
      <c r="O73" s="181">
        <f t="shared" si="1"/>
        <v>44</v>
      </c>
      <c r="P73" s="165" t="s">
        <v>30</v>
      </c>
      <c r="Q73" s="181">
        <f t="shared" si="3"/>
        <v>17</v>
      </c>
      <c r="R73" s="179"/>
      <c r="S73" s="181">
        <f>13.7+2.7</f>
        <v>16.399999999999999</v>
      </c>
      <c r="T73" s="181">
        <f>107.1+1.8</f>
        <v>108.89999999999999</v>
      </c>
      <c r="U73" s="180"/>
      <c r="V73" s="179"/>
      <c r="W73" s="180"/>
    </row>
    <row r="74" spans="14:23" ht="12.75">
      <c r="N74" s="166"/>
      <c r="O74" s="181">
        <f t="shared" si="1"/>
        <v>45</v>
      </c>
      <c r="P74" s="165" t="s">
        <v>31</v>
      </c>
      <c r="Q74" s="181">
        <f t="shared" si="3"/>
        <v>18</v>
      </c>
      <c r="R74" s="179"/>
      <c r="S74" s="181">
        <f>1.1+1.1+15+1.8+1+6.3+2+6.7</f>
        <v>35</v>
      </c>
      <c r="T74" s="181">
        <f>176.3+1.7</f>
        <v>178</v>
      </c>
      <c r="U74" s="166" t="s">
        <v>1249</v>
      </c>
      <c r="V74" s="179"/>
      <c r="W74" s="166" t="s">
        <v>1319</v>
      </c>
    </row>
    <row r="75" spans="14:23" ht="12.75">
      <c r="N75" s="166"/>
      <c r="O75" s="181">
        <f t="shared" si="1"/>
        <v>46</v>
      </c>
      <c r="P75" s="165" t="s">
        <v>32</v>
      </c>
      <c r="Q75" s="181">
        <f t="shared" si="3"/>
        <v>19</v>
      </c>
      <c r="R75" s="179"/>
      <c r="S75" s="181">
        <f>1.4+1.1+13.9+2.1+7.8+8.5</f>
        <v>34.799999999999997</v>
      </c>
      <c r="T75" s="181">
        <f>180.1+1</f>
        <v>181.1</v>
      </c>
      <c r="U75" s="179"/>
      <c r="V75" s="179"/>
      <c r="W75" s="179"/>
    </row>
    <row r="76" spans="14:23" ht="12.75">
      <c r="N76" s="166"/>
      <c r="O76" s="181">
        <f t="shared" si="1"/>
        <v>47</v>
      </c>
      <c r="P76" s="165" t="s">
        <v>34</v>
      </c>
      <c r="Q76" s="181">
        <f t="shared" si="3"/>
        <v>20</v>
      </c>
      <c r="R76" s="179"/>
      <c r="S76" s="181">
        <f>1.5+1.3+16.8+3.2+1.2+1.8+1.9+7.4+7.6</f>
        <v>42.7</v>
      </c>
      <c r="T76" s="176">
        <v>123.2</v>
      </c>
      <c r="U76" s="179"/>
      <c r="V76" s="179"/>
      <c r="W76" s="179"/>
    </row>
    <row r="77" spans="14:23" ht="12.75">
      <c r="N77" s="166"/>
      <c r="O77" s="181">
        <f t="shared" si="1"/>
        <v>48</v>
      </c>
      <c r="P77" s="165" t="s">
        <v>36</v>
      </c>
      <c r="Q77" s="181">
        <f t="shared" si="3"/>
        <v>21</v>
      </c>
      <c r="R77" s="179"/>
      <c r="S77" s="181">
        <f>1.3+14.8+1.5+1.1+2.5+1.1</f>
        <v>22.300000000000004</v>
      </c>
      <c r="T77" s="181">
        <f>122.2+1.5</f>
        <v>123.7</v>
      </c>
      <c r="U77" s="179"/>
      <c r="V77" s="179"/>
      <c r="W77" s="179"/>
    </row>
    <row r="78" spans="14:23" ht="12.75">
      <c r="N78" s="166"/>
      <c r="O78" s="181">
        <f t="shared" si="1"/>
        <v>49</v>
      </c>
      <c r="P78" s="165" t="s">
        <v>1146</v>
      </c>
      <c r="Q78" s="181">
        <f t="shared" si="3"/>
        <v>22</v>
      </c>
      <c r="R78" s="179"/>
      <c r="S78" s="181">
        <f>1.2+10.1+1.7</f>
        <v>12.999999999999998</v>
      </c>
      <c r="T78" s="181">
        <v>209.8</v>
      </c>
      <c r="U78" s="179"/>
      <c r="V78" s="179"/>
      <c r="W78" s="179"/>
    </row>
    <row r="79" spans="14:23" ht="12.75">
      <c r="N79" s="166"/>
      <c r="O79" s="181">
        <f t="shared" si="1"/>
        <v>50</v>
      </c>
      <c r="P79" s="165" t="s">
        <v>782</v>
      </c>
      <c r="Q79" s="181">
        <f t="shared" si="3"/>
        <v>23</v>
      </c>
      <c r="R79" s="179"/>
      <c r="S79" s="181">
        <f>1.1+10+2.4+7.3+9.7</f>
        <v>30.5</v>
      </c>
      <c r="T79" s="176">
        <v>189.8</v>
      </c>
      <c r="U79" s="179"/>
      <c r="V79" s="179"/>
      <c r="W79" s="179"/>
    </row>
    <row r="80" spans="14:23" ht="12.75">
      <c r="N80" s="166"/>
      <c r="O80" s="181">
        <f t="shared" si="1"/>
        <v>51</v>
      </c>
      <c r="P80" s="165" t="s">
        <v>1317</v>
      </c>
      <c r="Q80" s="181">
        <v>24</v>
      </c>
      <c r="R80" s="179"/>
      <c r="S80" s="181">
        <f>1.4+1.7+1+6.3+3+8.4+10</f>
        <v>31.799999999999997</v>
      </c>
      <c r="T80" s="181">
        <f>1.9+47.4+1.3+1.4+1.6+1.5+3.4+5.1+1.9</f>
        <v>65.5</v>
      </c>
      <c r="U80" s="179"/>
      <c r="V80" s="179"/>
      <c r="W80" s="179"/>
    </row>
    <row r="81" spans="14:23" ht="12.75">
      <c r="N81" s="166"/>
      <c r="O81" s="181">
        <f t="shared" si="1"/>
        <v>52</v>
      </c>
      <c r="P81" s="165" t="s">
        <v>1318</v>
      </c>
      <c r="Q81" s="181">
        <v>25</v>
      </c>
      <c r="R81" s="179"/>
      <c r="S81" s="181">
        <f>1.4+2+6.5+1.4+2.4+8.5+10.2</f>
        <v>32.400000000000006</v>
      </c>
      <c r="T81" s="181">
        <f>47.2+1.1+2+1.4+2.8+3.1</f>
        <v>57.6</v>
      </c>
      <c r="U81" s="179"/>
      <c r="V81" s="179"/>
      <c r="W81" s="179"/>
    </row>
    <row r="82" spans="14:23" ht="12.75">
      <c r="N82" s="166"/>
      <c r="O82" s="181">
        <f t="shared" si="1"/>
        <v>53</v>
      </c>
      <c r="P82" s="165" t="s">
        <v>1303</v>
      </c>
      <c r="Q82" s="181">
        <v>1</v>
      </c>
      <c r="R82" s="179"/>
      <c r="S82" s="181">
        <f>1.3+1+2.5+1.2</f>
        <v>6</v>
      </c>
      <c r="T82" s="181">
        <v>3.7</v>
      </c>
      <c r="U82" s="179"/>
      <c r="V82" s="179"/>
      <c r="W82" s="179"/>
    </row>
    <row r="83" spans="14:23" ht="12.75">
      <c r="N83" s="166"/>
      <c r="O83" s="181">
        <f t="shared" si="1"/>
        <v>54</v>
      </c>
      <c r="P83" s="165" t="s">
        <v>1305</v>
      </c>
      <c r="Q83" s="181">
        <v>2</v>
      </c>
      <c r="R83" s="179"/>
      <c r="S83" s="181">
        <f>1+5.6+1.2+7.7+9.6</f>
        <v>25.1</v>
      </c>
      <c r="T83" s="181">
        <v>122</v>
      </c>
      <c r="U83" s="179"/>
      <c r="V83" s="179"/>
      <c r="W83" s="179"/>
    </row>
    <row r="84" spans="14:23" ht="12.75">
      <c r="N84" s="166"/>
      <c r="O84" s="181">
        <f t="shared" si="1"/>
        <v>55</v>
      </c>
      <c r="P84" s="165" t="s">
        <v>1307</v>
      </c>
      <c r="Q84" s="181">
        <v>3</v>
      </c>
      <c r="R84" s="179"/>
      <c r="S84" s="181">
        <f>1.1+44.3+2.8+3.4+1.7</f>
        <v>53.3</v>
      </c>
      <c r="T84" s="181">
        <v>64.900000000000006</v>
      </c>
      <c r="U84" s="179"/>
      <c r="V84" s="179"/>
      <c r="W84" s="179"/>
    </row>
    <row r="85" spans="14:23" ht="12.75">
      <c r="N85" s="166"/>
      <c r="O85" s="181">
        <f t="shared" si="1"/>
        <v>56</v>
      </c>
      <c r="P85" s="165" t="s">
        <v>1309</v>
      </c>
      <c r="Q85" s="181">
        <v>4</v>
      </c>
      <c r="R85" s="179"/>
      <c r="S85" s="181">
        <f>1.1+78.9+4.5+4.4+2.7+1.6</f>
        <v>93.2</v>
      </c>
      <c r="T85" s="181">
        <v>4.5</v>
      </c>
      <c r="U85" s="179"/>
      <c r="V85" s="179"/>
      <c r="W85" s="179"/>
    </row>
    <row r="86" spans="14:23" ht="12.75">
      <c r="N86" s="166"/>
      <c r="O86" s="181">
        <f t="shared" si="1"/>
        <v>57</v>
      </c>
      <c r="P86" s="165" t="s">
        <v>47</v>
      </c>
      <c r="Q86" s="181">
        <v>5</v>
      </c>
      <c r="R86" s="179"/>
      <c r="S86" s="181">
        <f>1+2.1</f>
        <v>3.1</v>
      </c>
      <c r="T86" s="181">
        <v>0</v>
      </c>
      <c r="U86" s="179"/>
      <c r="V86" s="179"/>
      <c r="W86" s="179"/>
    </row>
    <row r="87" spans="14:23" ht="12.75">
      <c r="N87" s="166"/>
      <c r="O87" s="181">
        <f t="shared" si="1"/>
        <v>58</v>
      </c>
      <c r="P87" s="166" t="s">
        <v>1303</v>
      </c>
      <c r="Q87" s="176">
        <v>1</v>
      </c>
      <c r="R87" s="179"/>
      <c r="S87" s="181">
        <f>1.5+1.3</f>
        <v>2.8</v>
      </c>
      <c r="T87" s="176">
        <v>3</v>
      </c>
      <c r="U87" s="179"/>
      <c r="V87" s="179"/>
      <c r="W87" s="179"/>
    </row>
    <row r="88" spans="14:23" ht="12.75">
      <c r="N88" s="166"/>
      <c r="O88" s="179"/>
      <c r="P88" s="179"/>
      <c r="Q88" s="179"/>
      <c r="R88" s="179"/>
      <c r="S88" s="179"/>
      <c r="T88" s="179"/>
      <c r="U88" s="179"/>
      <c r="V88" s="179"/>
      <c r="W88" s="179"/>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
  <sheetViews>
    <sheetView workbookViewId="0"/>
  </sheetViews>
  <sheetFormatPr defaultColWidth="14.42578125" defaultRowHeight="15.75" customHeight="1"/>
  <cols>
    <col min="6" max="6" width="16.7109375" customWidth="1"/>
  </cols>
  <sheetData>
    <row r="1" spans="1:22" ht="15.75" customHeight="1">
      <c r="A1" s="1" t="s">
        <v>1223</v>
      </c>
    </row>
    <row r="3" spans="1:22" ht="15.75" customHeight="1">
      <c r="A3" s="114" t="s">
        <v>1</v>
      </c>
      <c r="B3" s="114" t="s">
        <v>659</v>
      </c>
      <c r="C3" s="114" t="s">
        <v>660</v>
      </c>
      <c r="D3" s="114" t="s">
        <v>661</v>
      </c>
      <c r="E3" s="114" t="s">
        <v>1032</v>
      </c>
      <c r="F3" s="110" t="s">
        <v>1295</v>
      </c>
      <c r="G3" s="110" t="s">
        <v>585</v>
      </c>
      <c r="H3" s="114" t="s">
        <v>97</v>
      </c>
      <c r="I3" s="114" t="s">
        <v>664</v>
      </c>
      <c r="J3" s="114" t="s">
        <v>665</v>
      </c>
      <c r="K3" s="114" t="s">
        <v>666</v>
      </c>
      <c r="L3" s="114" t="s">
        <v>667</v>
      </c>
      <c r="N3" s="1" t="s">
        <v>6</v>
      </c>
      <c r="O3" s="1" t="s">
        <v>7</v>
      </c>
      <c r="P3" s="1" t="s">
        <v>8</v>
      </c>
      <c r="Q3" s="1" t="s">
        <v>9</v>
      </c>
      <c r="R3" s="1" t="s">
        <v>10</v>
      </c>
      <c r="T3" s="166" t="s">
        <v>1297</v>
      </c>
      <c r="U3" s="166" t="s">
        <v>1298</v>
      </c>
      <c r="V3" s="166" t="s">
        <v>1299</v>
      </c>
    </row>
    <row r="4" spans="1:22" ht="15.75" customHeight="1">
      <c r="A4" s="114" t="s">
        <v>962</v>
      </c>
      <c r="B4" s="114"/>
      <c r="C4" s="114"/>
      <c r="D4" s="114"/>
      <c r="E4" s="114"/>
      <c r="F4" s="114"/>
      <c r="G4" s="110"/>
      <c r="H4" s="114"/>
      <c r="I4" s="114"/>
      <c r="J4" s="114"/>
      <c r="L4" s="114"/>
      <c r="T4" s="166"/>
      <c r="U4" s="166"/>
      <c r="V4" s="176">
        <v>340</v>
      </c>
    </row>
    <row r="5" spans="1:22" ht="15.75" customHeight="1">
      <c r="A5" s="114" t="s">
        <v>17</v>
      </c>
      <c r="B5" s="110" t="s">
        <v>832</v>
      </c>
      <c r="C5" s="111">
        <v>4</v>
      </c>
      <c r="D5" s="127">
        <f t="shared" ref="D5:D16" si="0">C5+J5/1000</f>
        <v>4.12</v>
      </c>
      <c r="E5" s="114" t="s">
        <v>692</v>
      </c>
      <c r="F5" s="112" t="s">
        <v>1121</v>
      </c>
      <c r="G5" s="110" t="s">
        <v>1271</v>
      </c>
      <c r="H5" s="111">
        <v>1</v>
      </c>
      <c r="I5" s="111">
        <v>10</v>
      </c>
      <c r="J5" s="112">
        <v>120</v>
      </c>
      <c r="K5" s="112">
        <v>10</v>
      </c>
      <c r="L5" s="112">
        <v>50</v>
      </c>
      <c r="N5" s="1">
        <v>13430.7</v>
      </c>
      <c r="O5" s="1">
        <v>0</v>
      </c>
      <c r="P5" s="1">
        <v>371</v>
      </c>
      <c r="Q5" s="1">
        <v>1380.4</v>
      </c>
      <c r="R5" s="1">
        <v>43.1</v>
      </c>
      <c r="T5">
        <f t="shared" ref="T5:T16" si="1">$V$4/P5*Q5</f>
        <v>1265.056603773585</v>
      </c>
    </row>
    <row r="6" spans="1:22" ht="15.75" customHeight="1">
      <c r="A6" s="114" t="s">
        <v>18</v>
      </c>
      <c r="B6" s="110" t="s">
        <v>832</v>
      </c>
      <c r="C6" s="111">
        <v>4</v>
      </c>
      <c r="D6" s="127">
        <f t="shared" si="0"/>
        <v>4.12</v>
      </c>
      <c r="E6" s="114" t="s">
        <v>692</v>
      </c>
      <c r="F6" s="112" t="s">
        <v>1121</v>
      </c>
      <c r="G6" s="110" t="s">
        <v>1271</v>
      </c>
      <c r="H6" s="111">
        <v>1</v>
      </c>
      <c r="I6" s="111">
        <v>10</v>
      </c>
      <c r="J6" s="112">
        <v>120</v>
      </c>
      <c r="K6" s="112">
        <v>10</v>
      </c>
      <c r="L6" s="112">
        <v>50</v>
      </c>
      <c r="N6" s="1">
        <v>12957.7</v>
      </c>
      <c r="O6" s="1">
        <v>0</v>
      </c>
      <c r="P6" s="1">
        <v>358</v>
      </c>
      <c r="Q6" s="1">
        <v>1361.1</v>
      </c>
      <c r="R6" s="1">
        <v>32.200000000000003</v>
      </c>
      <c r="T6">
        <f t="shared" si="1"/>
        <v>1292.6648044692736</v>
      </c>
    </row>
    <row r="7" spans="1:22" ht="15.75" customHeight="1">
      <c r="A7" s="114" t="s">
        <v>19</v>
      </c>
      <c r="B7" s="110" t="s">
        <v>832</v>
      </c>
      <c r="C7" s="111">
        <v>4</v>
      </c>
      <c r="D7" s="127">
        <f t="shared" si="0"/>
        <v>4.12</v>
      </c>
      <c r="E7" s="114" t="s">
        <v>692</v>
      </c>
      <c r="F7" s="112" t="s">
        <v>1121</v>
      </c>
      <c r="G7" s="110" t="s">
        <v>1271</v>
      </c>
      <c r="H7" s="111">
        <v>1</v>
      </c>
      <c r="I7" s="111">
        <v>10</v>
      </c>
      <c r="J7" s="112">
        <v>120</v>
      </c>
      <c r="K7" s="112">
        <v>10</v>
      </c>
      <c r="L7" s="112">
        <v>50</v>
      </c>
      <c r="N7" s="1">
        <v>12623.2</v>
      </c>
      <c r="O7" s="1">
        <v>0</v>
      </c>
      <c r="P7" s="1">
        <v>357.8</v>
      </c>
      <c r="Q7" s="1">
        <v>1322.1</v>
      </c>
      <c r="R7" s="1">
        <v>55.4</v>
      </c>
      <c r="T7">
        <f t="shared" si="1"/>
        <v>1256.3275572945779</v>
      </c>
    </row>
    <row r="8" spans="1:22" ht="15.75" customHeight="1">
      <c r="A8" s="114" t="s">
        <v>20</v>
      </c>
      <c r="B8" s="110" t="s">
        <v>591</v>
      </c>
      <c r="C8" s="112">
        <v>4</v>
      </c>
      <c r="D8" s="127">
        <f t="shared" si="0"/>
        <v>4.12</v>
      </c>
      <c r="E8" s="114" t="s">
        <v>692</v>
      </c>
      <c r="F8" s="112" t="s">
        <v>1121</v>
      </c>
      <c r="G8" s="110" t="s">
        <v>1271</v>
      </c>
      <c r="H8" s="112">
        <v>1</v>
      </c>
      <c r="I8" s="111">
        <v>10</v>
      </c>
      <c r="J8" s="112">
        <v>120</v>
      </c>
      <c r="K8" s="112">
        <v>10</v>
      </c>
      <c r="L8" s="112">
        <v>50</v>
      </c>
      <c r="N8" s="1">
        <v>12641.9</v>
      </c>
      <c r="O8" s="1">
        <v>0</v>
      </c>
      <c r="P8" s="1">
        <v>337.3</v>
      </c>
      <c r="Q8" s="1">
        <v>1274.5999999999999</v>
      </c>
      <c r="R8" s="1">
        <v>26.5</v>
      </c>
      <c r="T8">
        <f t="shared" si="1"/>
        <v>1284.8028461310405</v>
      </c>
    </row>
    <row r="9" spans="1:22" ht="15.75" customHeight="1">
      <c r="A9" s="114" t="s">
        <v>21</v>
      </c>
      <c r="B9" s="110" t="s">
        <v>591</v>
      </c>
      <c r="C9" s="112">
        <v>4</v>
      </c>
      <c r="D9" s="127">
        <f t="shared" si="0"/>
        <v>4.12</v>
      </c>
      <c r="E9" s="114" t="s">
        <v>692</v>
      </c>
      <c r="F9" s="112" t="s">
        <v>1121</v>
      </c>
      <c r="G9" s="110" t="s">
        <v>1271</v>
      </c>
      <c r="H9" s="112">
        <v>1</v>
      </c>
      <c r="I9" s="111">
        <v>10</v>
      </c>
      <c r="J9" s="112">
        <v>120</v>
      </c>
      <c r="K9" s="112">
        <v>10</v>
      </c>
      <c r="L9" s="112">
        <v>50</v>
      </c>
      <c r="N9" s="1">
        <v>12372</v>
      </c>
      <c r="O9" s="1">
        <v>0</v>
      </c>
      <c r="P9" s="1">
        <v>333.8</v>
      </c>
      <c r="Q9" s="1">
        <v>1290.7</v>
      </c>
      <c r="R9" s="1">
        <v>20.9</v>
      </c>
      <c r="T9">
        <f t="shared" si="1"/>
        <v>1314.6734571599759</v>
      </c>
    </row>
    <row r="10" spans="1:22" ht="15.75" customHeight="1">
      <c r="A10" s="114" t="s">
        <v>22</v>
      </c>
      <c r="B10" s="110" t="s">
        <v>591</v>
      </c>
      <c r="C10" s="112">
        <v>4</v>
      </c>
      <c r="D10" s="127">
        <f t="shared" si="0"/>
        <v>4.12</v>
      </c>
      <c r="E10" s="114" t="s">
        <v>692</v>
      </c>
      <c r="F10" s="112" t="s">
        <v>1121</v>
      </c>
      <c r="G10" s="110" t="s">
        <v>1271</v>
      </c>
      <c r="H10" s="112">
        <v>1</v>
      </c>
      <c r="I10" s="111">
        <v>10</v>
      </c>
      <c r="J10" s="112">
        <v>120</v>
      </c>
      <c r="K10" s="112">
        <v>10</v>
      </c>
      <c r="L10" s="112">
        <v>50</v>
      </c>
      <c r="N10" s="1">
        <v>12229.3</v>
      </c>
      <c r="O10" s="1">
        <v>0</v>
      </c>
      <c r="P10" s="1">
        <v>339.4</v>
      </c>
      <c r="Q10" s="1">
        <v>1303.0999999999999</v>
      </c>
      <c r="R10" s="1">
        <v>23.6</v>
      </c>
      <c r="T10">
        <f t="shared" si="1"/>
        <v>1305.4036535061875</v>
      </c>
    </row>
    <row r="11" spans="1:22" ht="15.75" customHeight="1">
      <c r="A11" s="110" t="s">
        <v>23</v>
      </c>
      <c r="B11" s="110" t="s">
        <v>832</v>
      </c>
      <c r="C11" s="112">
        <v>4</v>
      </c>
      <c r="D11" s="127">
        <f t="shared" si="0"/>
        <v>4.12</v>
      </c>
      <c r="E11" s="114" t="s">
        <v>692</v>
      </c>
      <c r="F11" s="112" t="s">
        <v>1121</v>
      </c>
      <c r="G11" s="110" t="s">
        <v>1271</v>
      </c>
      <c r="H11" s="112">
        <v>2</v>
      </c>
      <c r="I11" s="111">
        <v>10</v>
      </c>
      <c r="J11" s="112">
        <v>120</v>
      </c>
      <c r="K11" s="112">
        <v>10</v>
      </c>
      <c r="L11" s="112">
        <v>50</v>
      </c>
      <c r="N11" s="1">
        <v>12362</v>
      </c>
      <c r="O11" s="1">
        <v>0</v>
      </c>
      <c r="P11" s="1">
        <v>342.4</v>
      </c>
      <c r="Q11" s="1">
        <v>1267.2</v>
      </c>
      <c r="R11" s="1">
        <v>39.6</v>
      </c>
      <c r="T11">
        <f t="shared" si="1"/>
        <v>1258.3177570093458</v>
      </c>
    </row>
    <row r="12" spans="1:22" ht="15.75" customHeight="1">
      <c r="A12" s="110" t="s">
        <v>24</v>
      </c>
      <c r="B12" s="110" t="s">
        <v>832</v>
      </c>
      <c r="C12" s="112">
        <v>4</v>
      </c>
      <c r="D12" s="127">
        <f t="shared" si="0"/>
        <v>4.12</v>
      </c>
      <c r="E12" s="114" t="s">
        <v>692</v>
      </c>
      <c r="F12" s="112" t="s">
        <v>1121</v>
      </c>
      <c r="G12" s="110" t="s">
        <v>1271</v>
      </c>
      <c r="H12" s="112">
        <v>2</v>
      </c>
      <c r="I12" s="111">
        <v>10</v>
      </c>
      <c r="J12" s="112">
        <v>120</v>
      </c>
      <c r="K12" s="112">
        <v>10</v>
      </c>
      <c r="L12" s="112">
        <v>50</v>
      </c>
      <c r="N12" s="1">
        <v>12055.7</v>
      </c>
      <c r="O12" s="1">
        <v>0</v>
      </c>
      <c r="P12" s="1">
        <v>410.7</v>
      </c>
      <c r="Q12" s="1">
        <v>1240.9000000000001</v>
      </c>
      <c r="R12" s="1">
        <v>40.5</v>
      </c>
      <c r="T12">
        <f t="shared" si="1"/>
        <v>1027.2851229607986</v>
      </c>
    </row>
    <row r="13" spans="1:22" ht="15.75" customHeight="1">
      <c r="A13" s="110" t="s">
        <v>25</v>
      </c>
      <c r="B13" s="110" t="s">
        <v>832</v>
      </c>
      <c r="C13" s="112">
        <v>4</v>
      </c>
      <c r="D13" s="127">
        <f t="shared" si="0"/>
        <v>4.12</v>
      </c>
      <c r="E13" s="114" t="s">
        <v>692</v>
      </c>
      <c r="F13" s="112" t="s">
        <v>1121</v>
      </c>
      <c r="G13" s="110" t="s">
        <v>1271</v>
      </c>
      <c r="H13" s="112">
        <v>2</v>
      </c>
      <c r="I13" s="111">
        <v>10</v>
      </c>
      <c r="J13" s="112">
        <v>120</v>
      </c>
      <c r="K13" s="112">
        <v>10</v>
      </c>
      <c r="L13" s="112">
        <v>50</v>
      </c>
      <c r="N13" s="1">
        <v>12043.4</v>
      </c>
      <c r="O13" s="1">
        <v>0</v>
      </c>
      <c r="P13" s="1">
        <v>354.1</v>
      </c>
      <c r="Q13" s="1">
        <v>1256.5</v>
      </c>
      <c r="R13" s="1">
        <v>44.9</v>
      </c>
      <c r="T13">
        <f t="shared" si="1"/>
        <v>1206.4670996893533</v>
      </c>
    </row>
    <row r="14" spans="1:22" ht="15.75" customHeight="1">
      <c r="A14" s="110" t="s">
        <v>26</v>
      </c>
      <c r="B14" s="110" t="s">
        <v>591</v>
      </c>
      <c r="C14" s="112">
        <v>4</v>
      </c>
      <c r="D14" s="127">
        <f t="shared" si="0"/>
        <v>4.12</v>
      </c>
      <c r="E14" s="114" t="s">
        <v>692</v>
      </c>
      <c r="F14" s="112" t="s">
        <v>1121</v>
      </c>
      <c r="G14" s="110" t="s">
        <v>1271</v>
      </c>
      <c r="H14" s="112">
        <v>2</v>
      </c>
      <c r="I14" s="111">
        <v>10</v>
      </c>
      <c r="J14" s="112">
        <v>120</v>
      </c>
      <c r="K14" s="112">
        <v>10</v>
      </c>
      <c r="L14" s="112">
        <v>50</v>
      </c>
      <c r="N14" s="1">
        <v>12117.4</v>
      </c>
      <c r="O14" s="1">
        <v>0</v>
      </c>
      <c r="P14" s="1">
        <v>335.7</v>
      </c>
      <c r="Q14" s="1">
        <v>1273.2</v>
      </c>
      <c r="R14" s="1">
        <v>23.8</v>
      </c>
      <c r="T14">
        <f t="shared" si="1"/>
        <v>1289.5084897229672</v>
      </c>
    </row>
    <row r="15" spans="1:22" ht="15.75" customHeight="1">
      <c r="A15" s="110" t="s">
        <v>27</v>
      </c>
      <c r="B15" s="110" t="s">
        <v>591</v>
      </c>
      <c r="C15" s="112">
        <v>4</v>
      </c>
      <c r="D15" s="127">
        <f t="shared" si="0"/>
        <v>4.12</v>
      </c>
      <c r="E15" s="114" t="s">
        <v>692</v>
      </c>
      <c r="F15" s="112" t="s">
        <v>1121</v>
      </c>
      <c r="G15" s="110" t="s">
        <v>1271</v>
      </c>
      <c r="H15" s="112">
        <v>2</v>
      </c>
      <c r="I15" s="111">
        <v>10</v>
      </c>
      <c r="J15" s="112">
        <v>120</v>
      </c>
      <c r="K15" s="112">
        <v>10</v>
      </c>
      <c r="L15" s="112">
        <v>50</v>
      </c>
      <c r="N15" s="1">
        <v>11942.6</v>
      </c>
      <c r="O15" s="1">
        <v>0</v>
      </c>
      <c r="P15" s="1">
        <v>326.3</v>
      </c>
      <c r="Q15" s="1">
        <v>1219.8</v>
      </c>
      <c r="R15" s="1">
        <v>25.7</v>
      </c>
      <c r="T15">
        <f t="shared" si="1"/>
        <v>1271.0144039227705</v>
      </c>
    </row>
    <row r="16" spans="1:22" ht="15.75" customHeight="1">
      <c r="A16" s="110" t="s">
        <v>28</v>
      </c>
      <c r="B16" s="110" t="s">
        <v>591</v>
      </c>
      <c r="C16" s="112">
        <v>4</v>
      </c>
      <c r="D16" s="127">
        <f t="shared" si="0"/>
        <v>4.12</v>
      </c>
      <c r="E16" s="114" t="s">
        <v>692</v>
      </c>
      <c r="F16" s="112" t="s">
        <v>1121</v>
      </c>
      <c r="G16" s="110" t="s">
        <v>1271</v>
      </c>
      <c r="H16" s="112">
        <v>2</v>
      </c>
      <c r="I16" s="111">
        <v>10</v>
      </c>
      <c r="J16" s="112">
        <v>120</v>
      </c>
      <c r="K16" s="112">
        <v>10</v>
      </c>
      <c r="L16" s="112">
        <v>50</v>
      </c>
      <c r="N16" s="1">
        <v>12247.9</v>
      </c>
      <c r="O16" s="1">
        <v>0</v>
      </c>
      <c r="P16" s="1">
        <v>369.7</v>
      </c>
      <c r="Q16" s="1">
        <v>1323.8</v>
      </c>
      <c r="R16" s="1">
        <v>24.4</v>
      </c>
      <c r="T16">
        <f t="shared" si="1"/>
        <v>1217.4519880984581</v>
      </c>
    </row>
    <row r="17" spans="1:12" ht="15.75" customHeight="1">
      <c r="A17" s="114"/>
    </row>
    <row r="18" spans="1:12" ht="15.75" customHeight="1">
      <c r="A18" s="114"/>
      <c r="B18" s="114" t="s">
        <v>300</v>
      </c>
      <c r="C18" s="127">
        <f>SUM(C5:C17)</f>
        <v>48</v>
      </c>
      <c r="I18" s="1" t="s">
        <v>300</v>
      </c>
      <c r="J18">
        <f>SUM(J5:J17)</f>
        <v>1440</v>
      </c>
    </row>
    <row r="19" spans="1:12" ht="15.75" customHeight="1">
      <c r="A19" s="114"/>
    </row>
    <row r="20" spans="1:12" ht="15.75" customHeight="1">
      <c r="A20" s="125" t="s">
        <v>1040</v>
      </c>
      <c r="B20" s="1" t="s">
        <v>1041</v>
      </c>
      <c r="J20" s="125" t="s">
        <v>968</v>
      </c>
      <c r="K20" s="114"/>
      <c r="L20" s="114"/>
    </row>
    <row r="21" spans="1:12" ht="15.75" customHeight="1">
      <c r="A21" s="1" t="s">
        <v>1320</v>
      </c>
      <c r="J21" s="114" t="s">
        <v>970</v>
      </c>
      <c r="K21" s="114" t="s">
        <v>47</v>
      </c>
      <c r="L21" s="114" t="s">
        <v>300</v>
      </c>
    </row>
    <row r="22" spans="1:12" ht="15.75" customHeight="1">
      <c r="A22" s="1" t="s">
        <v>1321</v>
      </c>
      <c r="I22" s="1" t="s">
        <v>1237</v>
      </c>
      <c r="J22" s="125" t="s">
        <v>301</v>
      </c>
      <c r="K22" s="126">
        <v>0.5</v>
      </c>
    </row>
    <row r="23" spans="1:12" ht="15.75" customHeight="1">
      <c r="A23" s="1" t="s">
        <v>1322</v>
      </c>
      <c r="J23" s="112">
        <v>500</v>
      </c>
      <c r="K23" s="127">
        <f>J23/K22-J23</f>
        <v>500</v>
      </c>
      <c r="L23" s="127">
        <f>SUM(J23:K23)</f>
        <v>1000</v>
      </c>
    </row>
    <row r="24" spans="1:12" ht="15.75" customHeight="1">
      <c r="A24" s="1" t="s">
        <v>1323</v>
      </c>
      <c r="I24" s="1" t="s">
        <v>1324</v>
      </c>
      <c r="J24" s="168" t="s">
        <v>1325</v>
      </c>
      <c r="K24" s="112">
        <v>0.5</v>
      </c>
      <c r="L24" s="127"/>
    </row>
    <row r="25" spans="1:12" ht="15.75" customHeight="1">
      <c r="A25" s="1" t="s">
        <v>1326</v>
      </c>
      <c r="J25" s="112">
        <v>500</v>
      </c>
      <c r="K25" s="127">
        <f>J25/K24-J25</f>
        <v>500</v>
      </c>
      <c r="L25" s="127">
        <f>SUM(J25:K25)</f>
        <v>1000</v>
      </c>
    </row>
    <row r="26" spans="1:12" ht="15.75" customHeight="1">
      <c r="A26" s="1" t="s">
        <v>1327</v>
      </c>
      <c r="I26" s="1"/>
      <c r="J26" s="5"/>
      <c r="K26" s="1"/>
    </row>
    <row r="27" spans="1:12" ht="15.75" customHeight="1">
      <c r="A27" s="1" t="s">
        <v>1328</v>
      </c>
      <c r="J27" s="112"/>
      <c r="K27" s="127"/>
      <c r="L27" s="127"/>
    </row>
    <row r="28" spans="1:12" ht="15.75" customHeight="1">
      <c r="A28" s="1" t="s">
        <v>1329</v>
      </c>
      <c r="I28" s="1"/>
      <c r="J28" s="5"/>
      <c r="K28" s="1"/>
    </row>
    <row r="29" spans="1:12" ht="15.75" customHeight="1">
      <c r="J29" s="112"/>
      <c r="K29" s="127"/>
      <c r="L29" s="127"/>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workbookViewId="0"/>
  </sheetViews>
  <sheetFormatPr defaultColWidth="14.42578125" defaultRowHeight="15.75" customHeight="1"/>
  <cols>
    <col min="6" max="6" width="18.7109375" customWidth="1"/>
  </cols>
  <sheetData>
    <row r="1" spans="1:21" ht="15.75" customHeight="1">
      <c r="A1" s="1" t="s">
        <v>1330</v>
      </c>
      <c r="T1" s="1"/>
      <c r="U1" s="1"/>
    </row>
    <row r="2" spans="1:21" ht="15.75" customHeight="1">
      <c r="U2" s="1">
        <v>340</v>
      </c>
    </row>
    <row r="3" spans="1:21" ht="15.75" customHeight="1">
      <c r="A3" s="114" t="s">
        <v>1</v>
      </c>
      <c r="B3" s="114" t="s">
        <v>659</v>
      </c>
      <c r="C3" s="114" t="s">
        <v>660</v>
      </c>
      <c r="D3" s="114" t="s">
        <v>661</v>
      </c>
      <c r="E3" s="114" t="s">
        <v>1032</v>
      </c>
      <c r="F3" s="110" t="s">
        <v>1331</v>
      </c>
      <c r="G3" s="110" t="s">
        <v>1295</v>
      </c>
      <c r="H3" s="114" t="s">
        <v>97</v>
      </c>
      <c r="I3" s="114" t="s">
        <v>664</v>
      </c>
      <c r="J3" s="114" t="s">
        <v>665</v>
      </c>
      <c r="K3" s="114" t="s">
        <v>666</v>
      </c>
      <c r="L3" s="114" t="s">
        <v>667</v>
      </c>
      <c r="N3" s="1" t="s">
        <v>6</v>
      </c>
      <c r="O3" s="1" t="s">
        <v>7</v>
      </c>
      <c r="P3" s="1" t="s">
        <v>8</v>
      </c>
      <c r="Q3" s="1" t="s">
        <v>9</v>
      </c>
      <c r="R3" s="1" t="s">
        <v>10</v>
      </c>
      <c r="T3" s="1" t="s">
        <v>1297</v>
      </c>
      <c r="U3" s="1" t="s">
        <v>1332</v>
      </c>
    </row>
    <row r="4" spans="1:21" ht="15.75" customHeight="1">
      <c r="A4" s="114" t="s">
        <v>962</v>
      </c>
      <c r="B4" s="114"/>
      <c r="C4" s="114"/>
      <c r="D4" s="114"/>
      <c r="E4" s="114"/>
      <c r="F4" s="114"/>
      <c r="G4" s="114"/>
      <c r="H4" s="114"/>
      <c r="I4" s="114"/>
      <c r="J4" s="114"/>
      <c r="L4" s="114"/>
    </row>
    <row r="5" spans="1:21" ht="15.75" customHeight="1">
      <c r="A5" s="110" t="s">
        <v>29</v>
      </c>
      <c r="B5" s="110" t="s">
        <v>832</v>
      </c>
      <c r="C5" s="111">
        <v>4</v>
      </c>
      <c r="D5" s="127">
        <f t="shared" ref="D5:D16" si="0">C5+J5/1000</f>
        <v>4.12</v>
      </c>
      <c r="E5" s="114" t="s">
        <v>692</v>
      </c>
      <c r="F5" s="112">
        <v>1</v>
      </c>
      <c r="G5" s="112" t="s">
        <v>1121</v>
      </c>
      <c r="H5" s="112">
        <v>2</v>
      </c>
      <c r="I5" s="111">
        <v>10</v>
      </c>
      <c r="J5" s="112">
        <v>120</v>
      </c>
      <c r="K5" s="112">
        <v>10</v>
      </c>
      <c r="L5" s="112">
        <v>50</v>
      </c>
      <c r="N5" s="1">
        <v>12711.9</v>
      </c>
      <c r="O5" s="1"/>
      <c r="P5" s="1">
        <v>342.4</v>
      </c>
      <c r="Q5" s="1">
        <v>1247.5999999999999</v>
      </c>
      <c r="R5" s="1">
        <v>53.9</v>
      </c>
      <c r="T5">
        <f t="shared" ref="T5:T16" si="1">$U$2/P5*Q5</f>
        <v>1238.8551401869158</v>
      </c>
      <c r="U5">
        <f>AVERAGE(Q5:Q7)</f>
        <v>1193</v>
      </c>
    </row>
    <row r="6" spans="1:21" ht="15.75" customHeight="1">
      <c r="A6" s="110" t="s">
        <v>30</v>
      </c>
      <c r="B6" s="110" t="s">
        <v>832</v>
      </c>
      <c r="C6" s="111">
        <v>4</v>
      </c>
      <c r="D6" s="127">
        <f t="shared" si="0"/>
        <v>4.12</v>
      </c>
      <c r="E6" s="114" t="s">
        <v>692</v>
      </c>
      <c r="F6" s="112">
        <v>1</v>
      </c>
      <c r="G6" s="112" t="s">
        <v>1121</v>
      </c>
      <c r="H6" s="112">
        <v>2</v>
      </c>
      <c r="I6" s="111">
        <v>10</v>
      </c>
      <c r="J6" s="112">
        <v>120</v>
      </c>
      <c r="K6" s="112">
        <v>10</v>
      </c>
      <c r="L6" s="112">
        <v>50</v>
      </c>
      <c r="N6" s="1">
        <v>12392.8</v>
      </c>
      <c r="O6" s="1"/>
      <c r="P6" s="1">
        <v>361.4</v>
      </c>
      <c r="Q6" s="1">
        <v>1187.9000000000001</v>
      </c>
      <c r="R6" s="1">
        <v>67.3</v>
      </c>
      <c r="T6">
        <f t="shared" si="1"/>
        <v>1117.5594908688436</v>
      </c>
    </row>
    <row r="7" spans="1:21" ht="15.75" customHeight="1">
      <c r="A7" s="110" t="s">
        <v>31</v>
      </c>
      <c r="B7" s="110" t="s">
        <v>832</v>
      </c>
      <c r="C7" s="111">
        <v>4</v>
      </c>
      <c r="D7" s="127">
        <f t="shared" si="0"/>
        <v>4.12</v>
      </c>
      <c r="E7" s="114" t="s">
        <v>692</v>
      </c>
      <c r="F7" s="112">
        <v>1</v>
      </c>
      <c r="G7" s="112" t="s">
        <v>1121</v>
      </c>
      <c r="H7" s="112">
        <v>2</v>
      </c>
      <c r="I7" s="111">
        <v>10</v>
      </c>
      <c r="J7" s="112">
        <v>120</v>
      </c>
      <c r="K7" s="112">
        <v>10</v>
      </c>
      <c r="L7" s="112">
        <v>50</v>
      </c>
      <c r="N7" s="1">
        <v>11861.5</v>
      </c>
      <c r="P7" s="1">
        <v>327.60000000000002</v>
      </c>
      <c r="Q7" s="1">
        <v>1143.5</v>
      </c>
      <c r="R7" s="1">
        <v>60.9</v>
      </c>
      <c r="T7">
        <f t="shared" si="1"/>
        <v>1186.7826617826615</v>
      </c>
    </row>
    <row r="8" spans="1:21" ht="15.75" customHeight="1">
      <c r="A8" s="110" t="s">
        <v>32</v>
      </c>
      <c r="B8" s="110" t="s">
        <v>832</v>
      </c>
      <c r="C8" s="112">
        <v>4</v>
      </c>
      <c r="D8" s="127">
        <f t="shared" si="0"/>
        <v>4.12</v>
      </c>
      <c r="E8" s="114" t="s">
        <v>692</v>
      </c>
      <c r="F8" s="112">
        <v>2</v>
      </c>
      <c r="G8" s="112" t="s">
        <v>1121</v>
      </c>
      <c r="H8" s="111">
        <v>1</v>
      </c>
      <c r="I8" s="111">
        <v>10</v>
      </c>
      <c r="J8" s="112">
        <v>120</v>
      </c>
      <c r="K8" s="112">
        <v>10</v>
      </c>
      <c r="L8" s="112">
        <v>50</v>
      </c>
      <c r="N8" s="1">
        <v>13997.5</v>
      </c>
      <c r="P8" s="1">
        <v>471.4</v>
      </c>
      <c r="Q8" s="1">
        <v>412.7</v>
      </c>
      <c r="R8" s="1">
        <v>347.1</v>
      </c>
      <c r="T8">
        <f t="shared" si="1"/>
        <v>297.66228256257955</v>
      </c>
      <c r="U8">
        <f>AVERAGE(Q8:Q10)</f>
        <v>324.56666666666666</v>
      </c>
    </row>
    <row r="9" spans="1:21" ht="15.75" customHeight="1">
      <c r="A9" s="110" t="s">
        <v>34</v>
      </c>
      <c r="B9" s="110" t="s">
        <v>832</v>
      </c>
      <c r="C9" s="112">
        <v>4</v>
      </c>
      <c r="D9" s="127">
        <f t="shared" si="0"/>
        <v>4.12</v>
      </c>
      <c r="E9" s="114" t="s">
        <v>692</v>
      </c>
      <c r="F9" s="112">
        <v>2</v>
      </c>
      <c r="G9" s="112" t="s">
        <v>1121</v>
      </c>
      <c r="H9" s="111">
        <v>1</v>
      </c>
      <c r="I9" s="111">
        <v>10</v>
      </c>
      <c r="J9" s="112">
        <v>120</v>
      </c>
      <c r="K9" s="112">
        <v>10</v>
      </c>
      <c r="L9" s="112">
        <v>50</v>
      </c>
      <c r="N9" s="1">
        <v>13709.3</v>
      </c>
      <c r="P9" s="1">
        <v>511.7</v>
      </c>
      <c r="Q9" s="1">
        <v>376.4</v>
      </c>
      <c r="R9" s="1">
        <v>349.9</v>
      </c>
      <c r="T9">
        <f t="shared" si="1"/>
        <v>250.09966777408638</v>
      </c>
    </row>
    <row r="10" spans="1:21" ht="15.75" customHeight="1">
      <c r="A10" s="110" t="s">
        <v>36</v>
      </c>
      <c r="B10" s="110" t="s">
        <v>832</v>
      </c>
      <c r="C10" s="112">
        <v>4</v>
      </c>
      <c r="D10" s="127">
        <f t="shared" si="0"/>
        <v>4.12</v>
      </c>
      <c r="E10" s="114" t="s">
        <v>692</v>
      </c>
      <c r="F10" s="112">
        <v>2</v>
      </c>
      <c r="G10" s="112" t="s">
        <v>1121</v>
      </c>
      <c r="H10" s="111">
        <v>1</v>
      </c>
      <c r="I10" s="111">
        <v>10</v>
      </c>
      <c r="J10" s="112">
        <v>120</v>
      </c>
      <c r="K10" s="112">
        <v>10</v>
      </c>
      <c r="L10" s="112">
        <v>50</v>
      </c>
      <c r="N10" s="1">
        <v>13487.9</v>
      </c>
      <c r="P10" s="1">
        <v>609.6</v>
      </c>
      <c r="Q10" s="1">
        <v>184.6</v>
      </c>
      <c r="R10" s="1">
        <v>374.9</v>
      </c>
      <c r="T10">
        <f t="shared" si="1"/>
        <v>102.95931758530183</v>
      </c>
    </row>
    <row r="11" spans="1:21" ht="15.75" customHeight="1">
      <c r="A11" s="110" t="s">
        <v>38</v>
      </c>
      <c r="B11" s="110" t="s">
        <v>832</v>
      </c>
      <c r="C11" s="112">
        <v>4</v>
      </c>
      <c r="D11" s="127">
        <f t="shared" si="0"/>
        <v>4.12</v>
      </c>
      <c r="E11" s="114" t="s">
        <v>692</v>
      </c>
      <c r="F11" s="112">
        <v>3</v>
      </c>
      <c r="G11" s="112" t="s">
        <v>1121</v>
      </c>
      <c r="H11" s="111">
        <v>1</v>
      </c>
      <c r="I11" s="111">
        <v>10</v>
      </c>
      <c r="J11" s="112">
        <v>120</v>
      </c>
      <c r="K11" s="112">
        <v>10</v>
      </c>
      <c r="L11" s="112">
        <v>50</v>
      </c>
      <c r="N11" s="1">
        <v>13631.7</v>
      </c>
      <c r="P11" s="1">
        <v>419.5</v>
      </c>
      <c r="Q11" s="1">
        <v>522.5</v>
      </c>
      <c r="R11" s="1">
        <v>290.8</v>
      </c>
      <c r="T11">
        <f t="shared" si="1"/>
        <v>423.48033373063174</v>
      </c>
      <c r="U11">
        <f>AVERAGE(Q11:Q13)</f>
        <v>390.09999999999997</v>
      </c>
    </row>
    <row r="12" spans="1:21" ht="15.75" customHeight="1">
      <c r="A12" s="110" t="s">
        <v>40</v>
      </c>
      <c r="B12" s="110" t="s">
        <v>832</v>
      </c>
      <c r="C12" s="112">
        <v>4</v>
      </c>
      <c r="D12" s="127">
        <f t="shared" si="0"/>
        <v>4.12</v>
      </c>
      <c r="E12" s="114" t="s">
        <v>692</v>
      </c>
      <c r="F12" s="112">
        <v>3</v>
      </c>
      <c r="G12" s="112" t="s">
        <v>1121</v>
      </c>
      <c r="H12" s="111">
        <v>1</v>
      </c>
      <c r="I12" s="111">
        <v>10</v>
      </c>
      <c r="J12" s="112">
        <v>120</v>
      </c>
      <c r="K12" s="112">
        <v>10</v>
      </c>
      <c r="L12" s="112">
        <v>50</v>
      </c>
      <c r="N12" s="1">
        <v>12520.4</v>
      </c>
      <c r="P12" s="1">
        <v>607.6</v>
      </c>
      <c r="Q12" s="1">
        <v>363.3</v>
      </c>
      <c r="R12" s="1">
        <v>300.7</v>
      </c>
      <c r="T12">
        <f t="shared" si="1"/>
        <v>203.29493087557606</v>
      </c>
    </row>
    <row r="13" spans="1:21" ht="15.75" customHeight="1">
      <c r="A13" s="110" t="s">
        <v>42</v>
      </c>
      <c r="B13" s="110" t="s">
        <v>832</v>
      </c>
      <c r="C13" s="112">
        <v>4</v>
      </c>
      <c r="D13" s="127">
        <f t="shared" si="0"/>
        <v>4.12</v>
      </c>
      <c r="E13" s="114" t="s">
        <v>692</v>
      </c>
      <c r="F13" s="112">
        <v>3</v>
      </c>
      <c r="G13" s="112" t="s">
        <v>1121</v>
      </c>
      <c r="H13" s="111">
        <v>1</v>
      </c>
      <c r="I13" s="111">
        <v>10</v>
      </c>
      <c r="J13" s="112">
        <v>120</v>
      </c>
      <c r="K13" s="112">
        <v>10</v>
      </c>
      <c r="L13" s="112">
        <v>50</v>
      </c>
      <c r="N13" s="1">
        <v>12393.6</v>
      </c>
      <c r="P13" s="1">
        <v>671</v>
      </c>
      <c r="Q13" s="1">
        <v>284.5</v>
      </c>
      <c r="R13" s="1">
        <v>328.1</v>
      </c>
      <c r="T13">
        <f t="shared" si="1"/>
        <v>144.15797317436662</v>
      </c>
    </row>
    <row r="14" spans="1:21" ht="15.75" customHeight="1">
      <c r="A14" s="110" t="s">
        <v>400</v>
      </c>
      <c r="B14" s="110" t="s">
        <v>832</v>
      </c>
      <c r="C14" s="112">
        <v>4</v>
      </c>
      <c r="D14" s="127">
        <f t="shared" si="0"/>
        <v>4.12</v>
      </c>
      <c r="E14" s="114" t="s">
        <v>692</v>
      </c>
      <c r="F14" s="112">
        <v>4</v>
      </c>
      <c r="G14" s="112" t="s">
        <v>1121</v>
      </c>
      <c r="H14" s="111">
        <v>1</v>
      </c>
      <c r="I14" s="111">
        <v>10</v>
      </c>
      <c r="J14" s="112">
        <v>120</v>
      </c>
      <c r="K14" s="112">
        <v>10</v>
      </c>
      <c r="L14" s="112">
        <v>50</v>
      </c>
      <c r="N14" s="1">
        <v>13162</v>
      </c>
      <c r="P14" s="1">
        <v>389.4</v>
      </c>
      <c r="Q14" s="1">
        <v>704.3</v>
      </c>
      <c r="R14" s="1">
        <v>208.6</v>
      </c>
      <c r="T14">
        <f t="shared" si="1"/>
        <v>614.95120698510527</v>
      </c>
      <c r="U14">
        <f>AVERAGE(Q14:Q16)</f>
        <v>521.33333333333337</v>
      </c>
    </row>
    <row r="15" spans="1:21" ht="15.75" customHeight="1">
      <c r="A15" s="110" t="s">
        <v>401</v>
      </c>
      <c r="B15" s="110" t="s">
        <v>832</v>
      </c>
      <c r="C15" s="112">
        <v>4</v>
      </c>
      <c r="D15" s="127">
        <f t="shared" si="0"/>
        <v>4.12</v>
      </c>
      <c r="E15" s="114" t="s">
        <v>692</v>
      </c>
      <c r="F15" s="112">
        <v>4</v>
      </c>
      <c r="G15" s="112" t="s">
        <v>1121</v>
      </c>
      <c r="H15" s="111">
        <v>1</v>
      </c>
      <c r="I15" s="111">
        <v>10</v>
      </c>
      <c r="J15" s="112">
        <v>120</v>
      </c>
      <c r="K15" s="112">
        <v>10</v>
      </c>
      <c r="L15" s="112">
        <v>50</v>
      </c>
      <c r="N15" s="1">
        <v>13094</v>
      </c>
      <c r="P15" s="1">
        <v>474.4</v>
      </c>
      <c r="Q15" s="1">
        <v>390</v>
      </c>
      <c r="R15" s="1">
        <v>301.39999999999998</v>
      </c>
      <c r="T15">
        <f t="shared" si="1"/>
        <v>279.51096121416532</v>
      </c>
    </row>
    <row r="16" spans="1:21" ht="15.75" customHeight="1">
      <c r="A16" s="110" t="s">
        <v>401</v>
      </c>
      <c r="B16" s="110" t="s">
        <v>832</v>
      </c>
      <c r="C16" s="112">
        <v>4</v>
      </c>
      <c r="D16" s="127">
        <f t="shared" si="0"/>
        <v>4.12</v>
      </c>
      <c r="E16" s="114" t="s">
        <v>692</v>
      </c>
      <c r="F16" s="112">
        <v>4</v>
      </c>
      <c r="G16" s="112" t="s">
        <v>1121</v>
      </c>
      <c r="H16" s="111">
        <v>1</v>
      </c>
      <c r="I16" s="111">
        <v>10</v>
      </c>
      <c r="J16" s="112">
        <v>120</v>
      </c>
      <c r="K16" s="112">
        <v>10</v>
      </c>
      <c r="L16" s="112">
        <v>50</v>
      </c>
      <c r="N16" s="1">
        <v>13127.6</v>
      </c>
      <c r="P16" s="1">
        <v>454.2</v>
      </c>
      <c r="Q16" s="1">
        <v>469.7</v>
      </c>
      <c r="R16" s="1">
        <v>274.60000000000002</v>
      </c>
      <c r="T16">
        <f t="shared" si="1"/>
        <v>351.60281814178779</v>
      </c>
    </row>
    <row r="17" spans="1:20" ht="15.75" customHeight="1">
      <c r="A17" s="110"/>
      <c r="B17" s="110"/>
      <c r="C17" s="112"/>
      <c r="D17" s="127"/>
      <c r="E17" s="114"/>
      <c r="F17" s="112"/>
      <c r="G17" s="112"/>
      <c r="H17" s="111"/>
      <c r="I17" s="111"/>
      <c r="J17" s="112"/>
      <c r="K17" s="112"/>
      <c r="L17" s="112"/>
      <c r="N17" s="1"/>
      <c r="P17" s="1"/>
      <c r="Q17" s="1"/>
      <c r="R17" s="1"/>
    </row>
    <row r="18" spans="1:20" ht="15.75" customHeight="1">
      <c r="A18" s="110"/>
      <c r="B18" s="110"/>
      <c r="C18" s="112"/>
      <c r="D18" s="127"/>
      <c r="E18" s="114"/>
      <c r="F18" s="112"/>
      <c r="G18" s="112"/>
      <c r="H18" s="111"/>
      <c r="I18" s="111"/>
      <c r="J18" s="112"/>
      <c r="K18" s="112"/>
      <c r="L18" s="112"/>
      <c r="N18" s="1"/>
      <c r="P18" s="1"/>
      <c r="Q18" s="1"/>
      <c r="R18" s="1"/>
    </row>
    <row r="19" spans="1:20" ht="15.75" customHeight="1">
      <c r="A19" s="110"/>
      <c r="B19" s="110"/>
      <c r="C19" s="112"/>
      <c r="D19" s="127"/>
      <c r="E19" s="114"/>
      <c r="F19" s="112"/>
      <c r="G19" s="112"/>
      <c r="H19" s="111"/>
      <c r="I19" s="111"/>
      <c r="J19" s="112"/>
      <c r="K19" s="112"/>
      <c r="L19" s="112"/>
      <c r="N19" s="1"/>
      <c r="P19" s="1"/>
      <c r="Q19" s="1"/>
      <c r="R19" s="1"/>
    </row>
    <row r="20" spans="1:20" ht="15.75" customHeight="1">
      <c r="A20" s="114"/>
      <c r="B20" s="114"/>
      <c r="C20" s="127"/>
      <c r="I20" s="1"/>
    </row>
    <row r="21" spans="1:20" ht="15.75" customHeight="1">
      <c r="A21" s="114"/>
      <c r="B21" s="114" t="s">
        <v>300</v>
      </c>
      <c r="C21" s="127">
        <f>SUM(C5:C19)</f>
        <v>48</v>
      </c>
      <c r="I21" s="1" t="s">
        <v>300</v>
      </c>
      <c r="J21">
        <f>SUM(J5:J19)</f>
        <v>1440</v>
      </c>
    </row>
    <row r="22" spans="1:20" ht="15.75" customHeight="1">
      <c r="A22" s="114"/>
    </row>
    <row r="23" spans="1:20" ht="15.75" customHeight="1">
      <c r="A23" s="125" t="s">
        <v>1040</v>
      </c>
      <c r="J23" s="125" t="s">
        <v>968</v>
      </c>
      <c r="K23" s="114"/>
      <c r="L23" s="114"/>
      <c r="T23" s="1"/>
    </row>
    <row r="24" spans="1:20" ht="15.75" customHeight="1">
      <c r="A24" s="1" t="s">
        <v>1333</v>
      </c>
      <c r="J24" s="114" t="s">
        <v>970</v>
      </c>
      <c r="K24" s="114" t="s">
        <v>47</v>
      </c>
      <c r="L24" s="114" t="s">
        <v>300</v>
      </c>
      <c r="T24" s="1"/>
    </row>
    <row r="25" spans="1:20" ht="15.75" customHeight="1">
      <c r="A25" s="1" t="s">
        <v>1334</v>
      </c>
      <c r="I25" s="1" t="s">
        <v>1237</v>
      </c>
      <c r="J25" s="125" t="s">
        <v>301</v>
      </c>
      <c r="K25" s="126">
        <v>0.5</v>
      </c>
      <c r="T25" s="1"/>
    </row>
    <row r="26" spans="1:20" ht="15.75" customHeight="1">
      <c r="A26" s="1" t="s">
        <v>1335</v>
      </c>
      <c r="J26" s="112">
        <v>600</v>
      </c>
      <c r="K26" s="127">
        <f>J26/K25-J26</f>
        <v>600</v>
      </c>
      <c r="L26" s="127">
        <f>SUM(J26:K26)</f>
        <v>1200</v>
      </c>
      <c r="T26" s="1"/>
    </row>
    <row r="27" spans="1:20" ht="15.75" customHeight="1">
      <c r="A27" s="1" t="s">
        <v>1336</v>
      </c>
      <c r="I27" s="1" t="s">
        <v>1337</v>
      </c>
      <c r="J27" s="168" t="s">
        <v>1338</v>
      </c>
      <c r="K27" s="112"/>
      <c r="L27" s="127"/>
      <c r="T27" s="1"/>
    </row>
    <row r="28" spans="1:20" ht="15.75" customHeight="1">
      <c r="A28" s="1" t="s">
        <v>1339</v>
      </c>
      <c r="J28" s="1">
        <v>200</v>
      </c>
      <c r="K28" s="1">
        <v>200</v>
      </c>
      <c r="L28" s="1">
        <v>400</v>
      </c>
    </row>
    <row r="29" spans="1:20" ht="15.75" customHeight="1">
      <c r="A29" s="1" t="s">
        <v>1340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05"/>
  <sheetViews>
    <sheetView tabSelected="1" workbookViewId="0"/>
  </sheetViews>
  <sheetFormatPr defaultColWidth="14.42578125" defaultRowHeight="15.75" customHeight="1"/>
  <cols>
    <col min="2" max="2" width="22.7109375" customWidth="1"/>
    <col min="6" max="6" width="24.42578125" customWidth="1"/>
    <col min="7" max="7" width="18.85546875" customWidth="1"/>
    <col min="8" max="8" width="18.140625" customWidth="1"/>
    <col min="9" max="9" width="19" customWidth="1"/>
    <col min="10" max="10" width="19.85546875" customWidth="1"/>
    <col min="11" max="11" width="18.28515625" customWidth="1"/>
    <col min="12" max="12" width="24.7109375" customWidth="1"/>
    <col min="13" max="14" width="20.5703125" customWidth="1"/>
  </cols>
  <sheetData>
    <row r="1" spans="1:18" ht="15.75" customHeight="1">
      <c r="A1" s="11"/>
      <c r="B1" s="12" t="s">
        <v>186</v>
      </c>
      <c r="C1" s="13" t="s">
        <v>187</v>
      </c>
      <c r="D1" s="14" t="s">
        <v>188</v>
      </c>
      <c r="E1" s="14" t="s">
        <v>44</v>
      </c>
      <c r="F1" s="15" t="s">
        <v>189</v>
      </c>
      <c r="M1" s="16" t="s">
        <v>119</v>
      </c>
      <c r="N1" s="17">
        <v>1.1499999999999999</v>
      </c>
      <c r="O1" s="17" t="s">
        <v>190</v>
      </c>
      <c r="P1" s="18"/>
      <c r="Q1" s="19" t="s">
        <v>191</v>
      </c>
      <c r="R1" s="20"/>
    </row>
    <row r="2" spans="1:18" ht="15.75" customHeight="1">
      <c r="A2" s="11"/>
      <c r="B2" s="21">
        <v>7</v>
      </c>
      <c r="C2" s="22">
        <v>3</v>
      </c>
      <c r="D2" s="23">
        <v>120</v>
      </c>
      <c r="E2" s="23">
        <v>0.5</v>
      </c>
      <c r="F2" s="24">
        <f>E2*D2*C2*B2</f>
        <v>1260</v>
      </c>
      <c r="M2" s="25" t="s">
        <v>122</v>
      </c>
      <c r="N2" s="26">
        <v>363</v>
      </c>
      <c r="O2" s="26" t="s">
        <v>192</v>
      </c>
      <c r="P2" s="27"/>
      <c r="Q2" s="28">
        <f>N17/(N8*1000)*N7</f>
        <v>83.49</v>
      </c>
      <c r="R2" s="29" t="s">
        <v>133</v>
      </c>
    </row>
    <row r="3" spans="1:18" ht="15.75" customHeight="1">
      <c r="A3" s="9"/>
      <c r="B3" s="1"/>
      <c r="C3" s="30"/>
      <c r="D3" s="30"/>
      <c r="E3" s="30"/>
      <c r="M3" s="25"/>
      <c r="N3" s="26"/>
      <c r="O3" s="27"/>
      <c r="P3" s="27"/>
      <c r="Q3" s="31"/>
      <c r="R3" s="32"/>
    </row>
    <row r="4" spans="1:18" ht="15.75" customHeight="1">
      <c r="A4" s="9"/>
      <c r="B4" s="33" t="s">
        <v>193</v>
      </c>
      <c r="C4" s="34"/>
      <c r="D4" s="34"/>
      <c r="E4" s="34"/>
      <c r="F4" s="35"/>
      <c r="G4" s="35"/>
      <c r="H4" s="36"/>
      <c r="M4" s="25" t="s">
        <v>194</v>
      </c>
      <c r="N4" s="26">
        <v>4</v>
      </c>
      <c r="O4" s="27"/>
      <c r="P4" s="27"/>
      <c r="Q4" s="31" t="s">
        <v>195</v>
      </c>
      <c r="R4" s="32"/>
    </row>
    <row r="5" spans="1:18" ht="15.75" customHeight="1">
      <c r="A5" s="9"/>
      <c r="B5" s="10" t="s">
        <v>171</v>
      </c>
      <c r="C5" s="30"/>
      <c r="D5" s="30"/>
      <c r="E5" s="30"/>
      <c r="H5" s="37"/>
      <c r="M5" s="25"/>
      <c r="N5" s="26"/>
      <c r="O5" s="26"/>
      <c r="P5" s="27"/>
      <c r="Q5" s="27"/>
      <c r="R5" s="29"/>
    </row>
    <row r="6" spans="1:18" ht="15.75" customHeight="1">
      <c r="A6" s="9"/>
      <c r="B6" s="10" t="s">
        <v>196</v>
      </c>
      <c r="C6" s="30"/>
      <c r="D6" s="30"/>
      <c r="E6" s="30"/>
      <c r="H6" s="37"/>
      <c r="M6" s="25" t="s">
        <v>129</v>
      </c>
      <c r="N6" s="26">
        <v>100</v>
      </c>
      <c r="O6" s="26" t="s">
        <v>130</v>
      </c>
      <c r="P6" s="27"/>
      <c r="Q6" s="28">
        <f>120/1200*Q2*0.001</f>
        <v>8.3490000000000005E-3</v>
      </c>
      <c r="R6" s="29" t="s">
        <v>70</v>
      </c>
    </row>
    <row r="7" spans="1:18" ht="15.75" customHeight="1">
      <c r="A7" s="9"/>
      <c r="B7" s="10" t="s">
        <v>197</v>
      </c>
      <c r="C7" s="30"/>
      <c r="D7" s="30"/>
      <c r="E7" s="30"/>
      <c r="H7" s="37"/>
      <c r="M7" s="25" t="s">
        <v>132</v>
      </c>
      <c r="N7" s="28">
        <f>N1*N2*N4*N6*0.001</f>
        <v>166.98</v>
      </c>
      <c r="O7" s="26" t="s">
        <v>133</v>
      </c>
      <c r="P7" s="31" t="s">
        <v>198</v>
      </c>
      <c r="Q7" s="38">
        <f>(120/1000)/Q6</f>
        <v>14.372978799856268</v>
      </c>
      <c r="R7" s="39" t="s">
        <v>135</v>
      </c>
    </row>
    <row r="8" spans="1:18" ht="15.75" customHeight="1">
      <c r="A8" s="9"/>
      <c r="B8" s="10" t="s">
        <v>199</v>
      </c>
      <c r="C8" s="30"/>
      <c r="D8" s="30"/>
      <c r="E8" s="30"/>
      <c r="H8" s="37"/>
      <c r="M8" s="25" t="s">
        <v>137</v>
      </c>
      <c r="N8" s="40">
        <v>1.2</v>
      </c>
      <c r="O8" s="26" t="s">
        <v>63</v>
      </c>
      <c r="P8" s="27"/>
      <c r="Q8" s="27"/>
      <c r="R8" s="32"/>
    </row>
    <row r="9" spans="1:18" ht="15.75" customHeight="1">
      <c r="A9" s="9"/>
      <c r="B9" s="10" t="s">
        <v>200</v>
      </c>
      <c r="C9" s="30"/>
      <c r="D9" s="30"/>
      <c r="E9" s="30"/>
      <c r="H9" s="37"/>
      <c r="M9" s="25" t="s">
        <v>139</v>
      </c>
      <c r="N9" s="26">
        <f>N7/N8</f>
        <v>139.15</v>
      </c>
      <c r="O9" s="26" t="s">
        <v>140</v>
      </c>
      <c r="P9" s="27"/>
      <c r="Q9" s="27"/>
      <c r="R9" s="32"/>
    </row>
    <row r="10" spans="1:18" ht="15.75" customHeight="1">
      <c r="A10" s="9"/>
      <c r="B10" s="10" t="s">
        <v>176</v>
      </c>
      <c r="C10" s="30"/>
      <c r="D10" s="30"/>
      <c r="E10" s="30"/>
      <c r="H10" s="37"/>
      <c r="M10" s="25"/>
      <c r="N10" s="26"/>
      <c r="O10" s="26"/>
      <c r="P10" s="27"/>
      <c r="Q10" s="26"/>
      <c r="R10" s="32"/>
    </row>
    <row r="11" spans="1:18" ht="15.75" customHeight="1">
      <c r="A11" s="9"/>
      <c r="B11" s="41" t="s">
        <v>201</v>
      </c>
      <c r="C11" s="42"/>
      <c r="D11" s="42"/>
      <c r="E11" s="42"/>
      <c r="F11" s="43"/>
      <c r="G11" s="43"/>
      <c r="H11" s="44"/>
      <c r="M11" s="25"/>
      <c r="N11" s="26"/>
      <c r="O11" s="26"/>
      <c r="P11" s="27"/>
      <c r="Q11" s="26"/>
      <c r="R11" s="32"/>
    </row>
    <row r="12" spans="1:18" ht="15.75" customHeight="1">
      <c r="A12" s="45"/>
      <c r="B12" s="45"/>
      <c r="C12" s="45"/>
      <c r="D12" s="45"/>
      <c r="E12" s="11"/>
      <c r="F12" s="11"/>
      <c r="G12" s="11"/>
      <c r="H12" s="11"/>
      <c r="I12" s="11"/>
      <c r="J12" s="1"/>
      <c r="K12" s="1"/>
      <c r="M12" s="25" t="s">
        <v>202</v>
      </c>
      <c r="N12" s="26">
        <v>0.5</v>
      </c>
      <c r="O12" s="26"/>
      <c r="P12" s="27"/>
      <c r="Q12" s="26" t="s">
        <v>203</v>
      </c>
      <c r="R12" s="32"/>
    </row>
    <row r="13" spans="1:18" ht="15.75" customHeight="1">
      <c r="A13" s="46" t="s">
        <v>204</v>
      </c>
      <c r="B13" s="47"/>
      <c r="C13" s="48"/>
      <c r="D13" s="48" t="s">
        <v>205</v>
      </c>
      <c r="E13" s="49" t="s">
        <v>206</v>
      </c>
      <c r="F13" s="49" t="s">
        <v>207</v>
      </c>
      <c r="G13" s="49" t="s">
        <v>208</v>
      </c>
      <c r="H13" s="49" t="s">
        <v>209</v>
      </c>
      <c r="I13" s="49" t="s">
        <v>157</v>
      </c>
      <c r="J13" s="50" t="s">
        <v>210</v>
      </c>
      <c r="K13" s="51" t="s">
        <v>211</v>
      </c>
      <c r="M13" s="25" t="s">
        <v>146</v>
      </c>
      <c r="N13" s="26">
        <f>N9*N12</f>
        <v>69.575000000000003</v>
      </c>
      <c r="O13" s="26" t="s">
        <v>140</v>
      </c>
      <c r="P13" s="27"/>
      <c r="Q13" s="28">
        <f>N13*(120/1000)/1000</f>
        <v>8.3490000000000005E-3</v>
      </c>
      <c r="R13" s="29" t="s">
        <v>70</v>
      </c>
    </row>
    <row r="14" spans="1:18" ht="15.75" customHeight="1">
      <c r="A14" s="52"/>
      <c r="B14" s="190" t="s">
        <v>212</v>
      </c>
      <c r="C14" s="192" t="s">
        <v>213</v>
      </c>
      <c r="D14" s="54">
        <v>1</v>
      </c>
      <c r="E14" s="54">
        <v>0.2238</v>
      </c>
      <c r="F14" s="55">
        <f>E14</f>
        <v>0.2238</v>
      </c>
      <c r="G14" s="54">
        <v>0.2157</v>
      </c>
      <c r="H14" s="55">
        <f>G14</f>
        <v>0.2157</v>
      </c>
      <c r="I14" s="192">
        <f>AVERAGE(H14:H16)</f>
        <v>0.21233333333333335</v>
      </c>
      <c r="J14" s="57">
        <f t="shared" ref="J14:J16" si="0">(F14-H14)/F14</f>
        <v>3.6193029490616604E-2</v>
      </c>
      <c r="K14" s="58">
        <f t="shared" ref="K14:K16" si="1">F14-H14</f>
        <v>8.0999999999999961E-3</v>
      </c>
      <c r="M14" s="25" t="s">
        <v>214</v>
      </c>
      <c r="N14" s="26">
        <v>600</v>
      </c>
      <c r="O14" s="26" t="s">
        <v>215</v>
      </c>
      <c r="P14" s="27"/>
      <c r="Q14" s="26" t="s">
        <v>135</v>
      </c>
      <c r="R14" s="32"/>
    </row>
    <row r="15" spans="1:18" ht="15.75" customHeight="1">
      <c r="A15" s="52"/>
      <c r="B15" s="191"/>
      <c r="C15" s="186"/>
      <c r="D15" s="54">
        <v>2</v>
      </c>
      <c r="E15" s="54">
        <v>0.44590000000000002</v>
      </c>
      <c r="F15" s="55">
        <f t="shared" ref="F15:F16" si="2">E15-E14</f>
        <v>0.22210000000000002</v>
      </c>
      <c r="G15" s="54">
        <v>0.42599999999999999</v>
      </c>
      <c r="H15" s="55">
        <f t="shared" ref="H15:H16" si="3">G15-G14</f>
        <v>0.21029999999999999</v>
      </c>
      <c r="I15" s="186"/>
      <c r="J15" s="57">
        <f t="shared" si="0"/>
        <v>5.3129221071589516E-2</v>
      </c>
      <c r="K15" s="58">
        <f t="shared" si="1"/>
        <v>1.1800000000000033E-2</v>
      </c>
      <c r="M15" s="25"/>
      <c r="N15" s="26"/>
      <c r="O15" s="26"/>
      <c r="P15" s="27"/>
      <c r="Q15" s="27"/>
      <c r="R15" s="32"/>
    </row>
    <row r="16" spans="1:18" ht="15.75" customHeight="1">
      <c r="A16" s="52"/>
      <c r="B16" s="191"/>
      <c r="C16" s="186"/>
      <c r="D16" s="54">
        <v>3</v>
      </c>
      <c r="E16" s="54">
        <v>0.66710000000000003</v>
      </c>
      <c r="F16" s="55">
        <f t="shared" si="2"/>
        <v>0.22120000000000001</v>
      </c>
      <c r="G16" s="54">
        <v>0.63700000000000001</v>
      </c>
      <c r="H16" s="55">
        <f t="shared" si="3"/>
        <v>0.21100000000000002</v>
      </c>
      <c r="I16" s="186"/>
      <c r="J16" s="57">
        <f t="shared" si="0"/>
        <v>4.6112115732368834E-2</v>
      </c>
      <c r="K16" s="58">
        <f t="shared" si="1"/>
        <v>1.0199999999999987E-2</v>
      </c>
      <c r="M16" s="25"/>
      <c r="N16" s="26"/>
      <c r="O16" s="26"/>
      <c r="P16" s="27"/>
      <c r="Q16" s="27"/>
      <c r="R16" s="32"/>
    </row>
    <row r="17" spans="1:32" ht="15.75" customHeight="1">
      <c r="A17" s="52"/>
      <c r="B17" s="191"/>
      <c r="C17" s="53"/>
      <c r="D17" s="54"/>
      <c r="E17" s="54"/>
      <c r="F17" s="59"/>
      <c r="G17" s="54"/>
      <c r="H17" s="54"/>
      <c r="I17" s="53" t="s">
        <v>216</v>
      </c>
      <c r="J17" s="57">
        <f t="shared" ref="J17:K17" si="4">AVERAGE(J14:J16)</f>
        <v>4.5144788764858314E-2</v>
      </c>
      <c r="K17" s="58">
        <f t="shared" si="4"/>
        <v>1.0033333333333339E-2</v>
      </c>
      <c r="M17" s="60" t="s">
        <v>217</v>
      </c>
      <c r="N17" s="61">
        <v>600</v>
      </c>
      <c r="O17" s="61" t="s">
        <v>215</v>
      </c>
      <c r="P17" s="62"/>
      <c r="Q17" s="63">
        <f>(120/1000)/Q13</f>
        <v>14.372978799856268</v>
      </c>
      <c r="R17" s="64"/>
    </row>
    <row r="18" spans="1:32" ht="15.75" customHeight="1">
      <c r="A18" s="52"/>
      <c r="B18" s="191"/>
      <c r="C18" s="53"/>
      <c r="D18" s="54"/>
      <c r="E18" s="54"/>
      <c r="F18" s="59"/>
      <c r="G18" s="54"/>
      <c r="H18" s="54"/>
      <c r="I18" s="56"/>
      <c r="J18" s="65" t="s">
        <v>218</v>
      </c>
      <c r="K18" s="66"/>
      <c r="L18" s="9"/>
      <c r="M18" s="11"/>
    </row>
    <row r="19" spans="1:32" ht="15.75" customHeight="1">
      <c r="A19" s="52"/>
      <c r="B19" s="191"/>
      <c r="C19" s="192" t="s">
        <v>219</v>
      </c>
      <c r="D19" s="54">
        <v>4</v>
      </c>
      <c r="E19" s="54">
        <v>0.23250000000000001</v>
      </c>
      <c r="F19" s="55">
        <f>E19</f>
        <v>0.23250000000000001</v>
      </c>
      <c r="G19" s="54">
        <v>0.23039999999999999</v>
      </c>
      <c r="H19" s="54">
        <f>G19</f>
        <v>0.23039999999999999</v>
      </c>
      <c r="I19" s="192">
        <f>AVERAGE(H19:H21)</f>
        <v>0.22840000000000002</v>
      </c>
      <c r="J19" s="57">
        <f>H19-(F19-F19*J17)</f>
        <v>8.3961633878295305E-3</v>
      </c>
      <c r="K19" s="67"/>
      <c r="M19" s="11"/>
    </row>
    <row r="20" spans="1:32" ht="15.75" customHeight="1">
      <c r="A20" s="52"/>
      <c r="B20" s="191"/>
      <c r="C20" s="186"/>
      <c r="D20" s="54">
        <v>5</v>
      </c>
      <c r="E20" s="54">
        <v>0.45829999999999999</v>
      </c>
      <c r="F20" s="55">
        <f t="shared" ref="F20:F21" si="5">E20-E19</f>
        <v>0.22579999999999997</v>
      </c>
      <c r="G20" s="54">
        <v>0.45619999999999999</v>
      </c>
      <c r="H20" s="54">
        <f t="shared" ref="H20:H21" si="6">G20-G19</f>
        <v>0.2258</v>
      </c>
      <c r="I20" s="186"/>
      <c r="J20" s="57">
        <f>H20-(F20-F20*J17)</f>
        <v>1.0193693303105045E-2</v>
      </c>
      <c r="K20" s="67"/>
      <c r="M20" s="11"/>
    </row>
    <row r="21" spans="1:32" ht="15.75" customHeight="1">
      <c r="A21" s="52"/>
      <c r="B21" s="191"/>
      <c r="C21" s="186"/>
      <c r="D21" s="54">
        <v>6</v>
      </c>
      <c r="E21" s="54">
        <v>0.68710000000000004</v>
      </c>
      <c r="F21" s="55">
        <f t="shared" si="5"/>
        <v>0.22880000000000006</v>
      </c>
      <c r="G21" s="54">
        <v>0.68520000000000003</v>
      </c>
      <c r="H21" s="54">
        <f t="shared" si="6"/>
        <v>0.22900000000000004</v>
      </c>
      <c r="I21" s="186"/>
      <c r="J21" s="57">
        <f>H21-(F21-F21*J17)</f>
        <v>1.0529127669399563E-2</v>
      </c>
      <c r="K21" s="67"/>
      <c r="M21" s="11"/>
    </row>
    <row r="22" spans="1:32" ht="15.75" customHeight="1">
      <c r="A22" s="52"/>
      <c r="B22" s="68"/>
      <c r="C22" s="69"/>
      <c r="D22" s="70"/>
      <c r="E22" s="70"/>
      <c r="F22" s="71"/>
      <c r="G22" s="70"/>
      <c r="H22" s="71"/>
      <c r="I22" s="69" t="s">
        <v>216</v>
      </c>
      <c r="J22" s="72">
        <f>AVERAGE(J19:J21)</f>
        <v>9.7063281201113794E-3</v>
      </c>
      <c r="K22" s="73"/>
      <c r="M22" s="11"/>
    </row>
    <row r="23" spans="1:32" ht="15.75" customHeight="1">
      <c r="A23" s="52"/>
      <c r="B23" s="52"/>
      <c r="C23" s="52"/>
      <c r="D23" s="11"/>
      <c r="E23" s="11"/>
      <c r="F23" s="74"/>
      <c r="G23" s="11"/>
      <c r="H23" s="74"/>
      <c r="I23" s="75"/>
      <c r="J23" s="9"/>
      <c r="K23" s="9"/>
      <c r="L23" s="9"/>
      <c r="M23" s="11"/>
      <c r="N23" s="76"/>
      <c r="O23" s="76"/>
      <c r="P23" s="1" t="s">
        <v>220</v>
      </c>
      <c r="R23" s="76"/>
      <c r="S23" s="76"/>
      <c r="T23" s="76"/>
      <c r="U23" s="76"/>
      <c r="V23" s="76"/>
      <c r="W23" s="76"/>
      <c r="X23" s="76"/>
      <c r="Y23" s="76"/>
      <c r="Z23" s="76"/>
      <c r="AA23" s="76"/>
      <c r="AB23" s="76"/>
      <c r="AC23" s="76"/>
      <c r="AD23" s="76"/>
      <c r="AE23" s="76"/>
      <c r="AF23" s="76"/>
    </row>
    <row r="24" spans="1:32" ht="15.75" customHeight="1">
      <c r="A24" s="52"/>
      <c r="B24" s="77"/>
      <c r="C24" s="78"/>
      <c r="D24" s="49"/>
      <c r="E24" s="49"/>
      <c r="F24" s="79"/>
      <c r="G24" s="49"/>
      <c r="H24" s="79"/>
      <c r="I24" s="80"/>
      <c r="J24" s="50" t="s">
        <v>221</v>
      </c>
      <c r="K24" s="50" t="s">
        <v>222</v>
      </c>
      <c r="L24" s="50" t="s">
        <v>223</v>
      </c>
      <c r="M24" s="81" t="s">
        <v>224</v>
      </c>
      <c r="P24" s="1" t="s">
        <v>225</v>
      </c>
      <c r="Q24" s="1" t="s">
        <v>226</v>
      </c>
    </row>
    <row r="25" spans="1:32" ht="15.75" customHeight="1">
      <c r="A25" s="52"/>
      <c r="B25" s="190" t="s">
        <v>227</v>
      </c>
      <c r="C25" s="53">
        <v>0</v>
      </c>
      <c r="D25" s="54"/>
      <c r="E25" s="54"/>
      <c r="F25" s="59"/>
      <c r="G25" s="54"/>
      <c r="H25" s="59"/>
      <c r="I25" s="53"/>
      <c r="J25" s="65">
        <v>0.1148</v>
      </c>
      <c r="K25" s="57">
        <f>J25-J22</f>
        <v>0.10509367187988862</v>
      </c>
      <c r="L25" s="57">
        <f>K25/J22</f>
        <v>10.827335587608662</v>
      </c>
      <c r="M25" s="82">
        <f>K25/Q6</f>
        <v>12.587575982739084</v>
      </c>
      <c r="P25" s="1"/>
      <c r="Q25" s="1"/>
    </row>
    <row r="26" spans="1:32" ht="15.75" customHeight="1">
      <c r="A26" s="52"/>
      <c r="B26" s="191"/>
      <c r="C26" s="53">
        <v>0</v>
      </c>
      <c r="D26" s="54"/>
      <c r="E26" s="54"/>
      <c r="F26" s="59"/>
      <c r="G26" s="54"/>
      <c r="H26" s="59"/>
      <c r="I26" s="53"/>
      <c r="J26" s="65">
        <v>0.1174</v>
      </c>
      <c r="K26" s="57">
        <f>J26-J22</f>
        <v>0.10769367187988862</v>
      </c>
      <c r="L26" s="57">
        <f>K26/J22</f>
        <v>11.095202073042309</v>
      </c>
      <c r="M26" s="82">
        <f>K26/Q6</f>
        <v>12.898990523402638</v>
      </c>
      <c r="P26" s="1"/>
      <c r="Q26" s="1"/>
    </row>
    <row r="27" spans="1:32" ht="15.75" customHeight="1">
      <c r="A27" s="52"/>
      <c r="B27" s="191"/>
      <c r="C27" s="53">
        <v>0</v>
      </c>
      <c r="D27" s="54"/>
      <c r="E27" s="54"/>
      <c r="F27" s="59"/>
      <c r="G27" s="54"/>
      <c r="H27" s="59"/>
      <c r="I27" s="53"/>
      <c r="J27" s="65">
        <v>0.1158</v>
      </c>
      <c r="K27" s="57">
        <f>J27-J22</f>
        <v>0.10609367187988862</v>
      </c>
      <c r="L27" s="57">
        <f>K27/J22</f>
        <v>10.930361158929294</v>
      </c>
      <c r="M27" s="82">
        <f>K27/Q6</f>
        <v>12.70735080607122</v>
      </c>
      <c r="P27" s="1"/>
      <c r="Q27" s="1"/>
    </row>
    <row r="28" spans="1:32" ht="15.75" customHeight="1">
      <c r="A28" s="52"/>
      <c r="B28" s="190" t="s">
        <v>228</v>
      </c>
      <c r="C28" s="53">
        <v>15</v>
      </c>
      <c r="D28" s="54">
        <v>7</v>
      </c>
      <c r="E28" s="54">
        <v>0.2205</v>
      </c>
      <c r="F28" s="55">
        <f>E28</f>
        <v>0.2205</v>
      </c>
      <c r="G28" s="54">
        <v>0.2344</v>
      </c>
      <c r="H28" s="55">
        <f>G28</f>
        <v>0.2344</v>
      </c>
      <c r="I28" s="192">
        <f>AVERAGE(H28:H30)</f>
        <v>0.23496666666666666</v>
      </c>
      <c r="J28" s="57">
        <f>H28-(F28-J17*F28)</f>
        <v>2.3854425922651246E-2</v>
      </c>
      <c r="K28" s="57">
        <f>J28-J22</f>
        <v>1.4148097802539866E-2</v>
      </c>
      <c r="L28" s="57">
        <f>K28/J22</f>
        <v>1.4576158592068613</v>
      </c>
      <c r="M28" s="82">
        <f>(J28-Q6)/Q13</f>
        <v>1.8571596505750683</v>
      </c>
      <c r="P28" s="1" t="s">
        <v>229</v>
      </c>
      <c r="Q28" s="1" t="s">
        <v>230</v>
      </c>
    </row>
    <row r="29" spans="1:32" ht="15.75" customHeight="1">
      <c r="A29" s="52"/>
      <c r="B29" s="191"/>
      <c r="C29" s="53">
        <v>15</v>
      </c>
      <c r="D29" s="54">
        <v>8</v>
      </c>
      <c r="E29" s="54">
        <v>0.43759999999999999</v>
      </c>
      <c r="F29" s="55">
        <f t="shared" ref="F29:F30" si="7">E29-E28</f>
        <v>0.21709999999999999</v>
      </c>
      <c r="G29" s="54">
        <v>0.46710000000000002</v>
      </c>
      <c r="H29" s="55">
        <f t="shared" ref="H29:H30" si="8">G29-G28</f>
        <v>0.23270000000000002</v>
      </c>
      <c r="I29" s="186"/>
      <c r="J29" s="57">
        <f>H29-(F29-J17*F29)</f>
        <v>2.5400933640850776E-2</v>
      </c>
      <c r="K29" s="57">
        <f>J29-J22</f>
        <v>1.5694605520739396E-2</v>
      </c>
      <c r="L29" s="57">
        <f>K29/J22</f>
        <v>1.6169457004261363</v>
      </c>
      <c r="M29" s="82">
        <f>K29/Q13</f>
        <v>1.8798186035141209</v>
      </c>
      <c r="P29" s="1" t="s">
        <v>231</v>
      </c>
    </row>
    <row r="30" spans="1:32" ht="15.75" customHeight="1">
      <c r="A30" s="52"/>
      <c r="B30" s="191"/>
      <c r="C30" s="53">
        <v>15</v>
      </c>
      <c r="D30" s="54">
        <v>9</v>
      </c>
      <c r="E30" s="54">
        <v>0.66110000000000002</v>
      </c>
      <c r="F30" s="55">
        <f t="shared" si="7"/>
        <v>0.22350000000000003</v>
      </c>
      <c r="G30" s="54">
        <v>0.70489999999999997</v>
      </c>
      <c r="H30" s="55">
        <f t="shared" si="8"/>
        <v>0.23779999999999996</v>
      </c>
      <c r="I30" s="186"/>
      <c r="J30" s="57">
        <f>H30-(F30-$J17*F30)</f>
        <v>2.4389860288945769E-2</v>
      </c>
      <c r="K30" s="57">
        <f>J30-J22</f>
        <v>1.468353216883439E-2</v>
      </c>
      <c r="L30" s="57">
        <f>K30/J22</f>
        <v>1.5127792906990556</v>
      </c>
      <c r="M30" s="82">
        <f>K30/Q13</f>
        <v>1.7587174714138687</v>
      </c>
    </row>
    <row r="31" spans="1:32" ht="15.75" customHeight="1">
      <c r="A31" s="52"/>
      <c r="B31" s="191"/>
      <c r="C31" s="53">
        <v>30</v>
      </c>
      <c r="D31" s="54">
        <v>10</v>
      </c>
      <c r="E31" s="54">
        <v>0.22789999999999999</v>
      </c>
      <c r="F31" s="55">
        <f>E31</f>
        <v>0.22789999999999999</v>
      </c>
      <c r="G31" s="54">
        <v>0.2366</v>
      </c>
      <c r="H31" s="55">
        <f>G31</f>
        <v>0.2366</v>
      </c>
      <c r="I31" s="192">
        <f>AVERAGE(H31:H33)</f>
        <v>0.2319</v>
      </c>
      <c r="J31" s="57">
        <f>H31-(F31-J17*F31)</f>
        <v>1.8988497359511219E-2</v>
      </c>
      <c r="K31" s="57">
        <f>J31-J22</f>
        <v>9.2821692393998401E-3</v>
      </c>
      <c r="L31" s="57">
        <f>K31/J22</f>
        <v>0.95630078898397342</v>
      </c>
      <c r="M31" s="82">
        <f>K31/Q13</f>
        <v>1.1117701807880991</v>
      </c>
      <c r="P31" s="1" t="s">
        <v>232</v>
      </c>
    </row>
    <row r="32" spans="1:32" ht="15.75" customHeight="1">
      <c r="A32" s="52"/>
      <c r="B32" s="191"/>
      <c r="C32" s="53">
        <v>30</v>
      </c>
      <c r="D32" s="54">
        <v>11</v>
      </c>
      <c r="E32" s="54">
        <v>0.44819999999999999</v>
      </c>
      <c r="F32" s="55">
        <f t="shared" ref="F32:F33" si="9">E32-E31</f>
        <v>0.2203</v>
      </c>
      <c r="G32" s="54">
        <v>0.46529999999999999</v>
      </c>
      <c r="H32" s="55">
        <f t="shared" ref="H32:H33" si="10">G32-G31</f>
        <v>0.22869999999999999</v>
      </c>
      <c r="I32" s="186"/>
      <c r="J32" s="57">
        <f>H32-(F32-J17*F32)</f>
        <v>1.8345396964898286E-2</v>
      </c>
      <c r="K32" s="57">
        <f>J32-J22</f>
        <v>8.6390688447869068E-3</v>
      </c>
      <c r="L32" s="57">
        <f>K32/J22</f>
        <v>0.89004500341245152</v>
      </c>
      <c r="M32" s="82">
        <f>K32/Q13</f>
        <v>1.0347429446385084</v>
      </c>
      <c r="P32" s="1" t="s">
        <v>233</v>
      </c>
    </row>
    <row r="33" spans="1:16" ht="15.75" customHeight="1">
      <c r="A33" s="52"/>
      <c r="B33" s="191"/>
      <c r="C33" s="53">
        <v>30</v>
      </c>
      <c r="D33" s="54">
        <v>12</v>
      </c>
      <c r="E33" s="54">
        <v>0.66890000000000005</v>
      </c>
      <c r="F33" s="55">
        <f t="shared" si="9"/>
        <v>0.22070000000000006</v>
      </c>
      <c r="G33" s="54">
        <v>0.69569999999999999</v>
      </c>
      <c r="H33" s="55">
        <f t="shared" si="10"/>
        <v>0.23039999999999999</v>
      </c>
      <c r="I33" s="186"/>
      <c r="J33" s="57">
        <f>H33-(F33-J17*F33)</f>
        <v>1.9663454880404163E-2</v>
      </c>
      <c r="K33" s="57">
        <f>J33-J22</f>
        <v>9.9571267602927838E-3</v>
      </c>
      <c r="L33" s="57">
        <f>K33/J22</f>
        <v>1.0258386731911271</v>
      </c>
      <c r="M33" s="82">
        <f>K33/Q13</f>
        <v>1.1926130986097476</v>
      </c>
      <c r="P33" s="1" t="s">
        <v>234</v>
      </c>
    </row>
    <row r="34" spans="1:16" ht="15.75" customHeight="1">
      <c r="A34" s="52"/>
      <c r="B34" s="191"/>
      <c r="C34" s="53">
        <v>60</v>
      </c>
      <c r="D34" s="54">
        <v>13</v>
      </c>
      <c r="E34" s="54">
        <v>0.22389999999999999</v>
      </c>
      <c r="F34" s="55">
        <f>E34</f>
        <v>0.22389999999999999</v>
      </c>
      <c r="G34" s="54">
        <v>0.22969999999999999</v>
      </c>
      <c r="H34" s="54">
        <f>G34</f>
        <v>0.22969999999999999</v>
      </c>
      <c r="I34" s="83"/>
      <c r="J34" s="57">
        <f>H34-(F34-J17*F34)</f>
        <v>1.5907918204451782E-2</v>
      </c>
      <c r="K34" s="57">
        <f>J34-J22</f>
        <v>6.2015900843404026E-3</v>
      </c>
      <c r="L34" s="57">
        <f>K34/J22</f>
        <v>0.63892236153554227</v>
      </c>
      <c r="M34" s="82">
        <f>K34/Q13</f>
        <v>0.74279435673019545</v>
      </c>
      <c r="P34" s="1" t="s">
        <v>235</v>
      </c>
    </row>
    <row r="35" spans="1:16" ht="15.75" customHeight="1">
      <c r="A35" s="52"/>
      <c r="B35" s="191"/>
      <c r="C35" s="53">
        <v>60</v>
      </c>
      <c r="D35" s="54">
        <v>14</v>
      </c>
      <c r="E35" s="54">
        <v>0.44579999999999997</v>
      </c>
      <c r="F35" s="55">
        <f t="shared" ref="F35:F36" si="11">E35-E34</f>
        <v>0.22189999999999999</v>
      </c>
      <c r="G35" s="54">
        <v>0.45850000000000002</v>
      </c>
      <c r="H35" s="54">
        <f t="shared" ref="H35:H36" si="12">G35-G34</f>
        <v>0.22880000000000003</v>
      </c>
      <c r="I35" s="83"/>
      <c r="J35" s="57">
        <f>H35-(F35-J17*F35)</f>
        <v>1.6917628626922115E-2</v>
      </c>
      <c r="K35" s="57">
        <f>J35-J22</f>
        <v>7.2113005068107361E-3</v>
      </c>
      <c r="L35" s="57">
        <f>K35/J22</f>
        <v>0.74294835467894593</v>
      </c>
      <c r="M35" s="82">
        <f>K35/Q13</f>
        <v>0.86373224419819572</v>
      </c>
      <c r="P35" s="1" t="s">
        <v>236</v>
      </c>
    </row>
    <row r="36" spans="1:16" ht="15.75" customHeight="1">
      <c r="A36" s="52"/>
      <c r="B36" s="191"/>
      <c r="C36" s="53">
        <v>60</v>
      </c>
      <c r="D36" s="54">
        <v>15</v>
      </c>
      <c r="E36" s="54">
        <v>0.67130000000000001</v>
      </c>
      <c r="F36" s="55">
        <f t="shared" si="11"/>
        <v>0.22550000000000003</v>
      </c>
      <c r="G36" s="54">
        <v>0.69089999999999996</v>
      </c>
      <c r="H36" s="54">
        <f t="shared" si="12"/>
        <v>0.23239999999999994</v>
      </c>
      <c r="I36" s="83"/>
      <c r="J36" s="57">
        <f>H36-(F36-J17*F36)</f>
        <v>1.7080149866475464E-2</v>
      </c>
      <c r="K36" s="57">
        <f>J36-J22</f>
        <v>7.3738217463640843E-3</v>
      </c>
      <c r="L36" s="57">
        <f>K36/J22</f>
        <v>0.75969219823566714</v>
      </c>
      <c r="M36" s="82">
        <f>K36/Q13</f>
        <v>0.88319819695341761</v>
      </c>
      <c r="P36" s="84" t="s">
        <v>237</v>
      </c>
    </row>
    <row r="37" spans="1:16" ht="15.75" customHeight="1">
      <c r="A37" s="52"/>
      <c r="B37" s="191"/>
      <c r="C37" s="53">
        <v>90</v>
      </c>
      <c r="D37" s="54">
        <v>16</v>
      </c>
      <c r="E37" s="54">
        <v>0.22320000000000001</v>
      </c>
      <c r="F37" s="55">
        <f>E37</f>
        <v>0.22320000000000001</v>
      </c>
      <c r="G37" s="54">
        <v>0.22789999999999999</v>
      </c>
      <c r="H37" s="55">
        <f>G37</f>
        <v>0.22789999999999999</v>
      </c>
      <c r="I37" s="83"/>
      <c r="J37" s="57">
        <f>H37-(F37-J17*F37)</f>
        <v>1.4776316852316368E-2</v>
      </c>
      <c r="K37" s="57">
        <f>J37-J22</f>
        <v>5.0699887322049886E-3</v>
      </c>
      <c r="L37" s="57">
        <f>K37/J22</f>
        <v>0.52233848572459041</v>
      </c>
      <c r="M37" s="82">
        <f>K37/Q13</f>
        <v>0.6072570046957706</v>
      </c>
    </row>
    <row r="38" spans="1:16" ht="15.75" customHeight="1">
      <c r="A38" s="52"/>
      <c r="B38" s="191"/>
      <c r="C38" s="53">
        <v>90</v>
      </c>
      <c r="D38" s="54">
        <v>17</v>
      </c>
      <c r="E38" s="54">
        <v>0.44230000000000003</v>
      </c>
      <c r="F38" s="55">
        <f>E38-E37</f>
        <v>0.21910000000000002</v>
      </c>
      <c r="G38" s="54">
        <v>0.45390000000000003</v>
      </c>
      <c r="H38" s="55">
        <f t="shared" ref="H38:H39" si="13">G38-G37</f>
        <v>0.22600000000000003</v>
      </c>
      <c r="I38" s="83"/>
      <c r="J38" s="57">
        <f>H38-(F38-J17*F38)</f>
        <v>1.6791223218380474E-2</v>
      </c>
      <c r="K38" s="57">
        <f>J38-J22</f>
        <v>7.084895098269095E-3</v>
      </c>
      <c r="L38" s="57">
        <f>K38/J22</f>
        <v>0.72992536524592544</v>
      </c>
      <c r="M38" s="82">
        <f>K38/Q13</f>
        <v>0.84859205872189414</v>
      </c>
    </row>
    <row r="39" spans="1:16" ht="12.75">
      <c r="A39" s="52"/>
      <c r="B39" s="193"/>
      <c r="C39" s="69">
        <v>90</v>
      </c>
      <c r="D39" s="70">
        <v>19</v>
      </c>
      <c r="E39" s="70">
        <v>0.22520000000000001</v>
      </c>
      <c r="F39" s="85">
        <f t="shared" ref="F39:F40" si="14">E39</f>
        <v>0.22520000000000001</v>
      </c>
      <c r="G39" s="70">
        <v>0.68520000000000003</v>
      </c>
      <c r="H39" s="85">
        <f t="shared" si="13"/>
        <v>0.23130000000000001</v>
      </c>
      <c r="I39" s="86"/>
      <c r="J39" s="87">
        <f>H39-(F39-J17*F39)</f>
        <v>1.6266606429846092E-2</v>
      </c>
      <c r="K39" s="87">
        <f>J39-J22</f>
        <v>6.5602783097347128E-3</v>
      </c>
      <c r="L39" s="87">
        <f>K39/J22</f>
        <v>0.675876420882775</v>
      </c>
      <c r="M39" s="88">
        <f>K39/Q13</f>
        <v>0.78575617555811628</v>
      </c>
    </row>
    <row r="40" spans="1:16" ht="12.75">
      <c r="A40" s="52"/>
      <c r="B40" s="52"/>
      <c r="C40" s="194">
        <v>120</v>
      </c>
      <c r="D40" s="11">
        <v>19</v>
      </c>
      <c r="E40" s="11">
        <v>0.22520000000000001</v>
      </c>
      <c r="F40" s="89">
        <f t="shared" si="14"/>
        <v>0.22520000000000001</v>
      </c>
      <c r="G40" s="76"/>
      <c r="H40" s="89">
        <f>G40</f>
        <v>0</v>
      </c>
      <c r="I40" s="76"/>
      <c r="M40" s="9"/>
      <c r="N40" s="1"/>
    </row>
    <row r="41" spans="1:16" ht="12.75">
      <c r="A41" s="52"/>
      <c r="B41" s="52"/>
      <c r="C41" s="186"/>
      <c r="D41" s="11">
        <v>20</v>
      </c>
      <c r="E41" s="11">
        <v>0.45119999999999999</v>
      </c>
      <c r="F41" s="89">
        <f t="shared" ref="F41:F42" si="15">E41-E40</f>
        <v>0.22599999999999998</v>
      </c>
      <c r="G41" s="76"/>
      <c r="H41" s="89">
        <f t="shared" ref="H41:H42" si="16">G41-G40</f>
        <v>0</v>
      </c>
      <c r="I41" s="76"/>
      <c r="M41" s="9"/>
      <c r="N41" s="1"/>
    </row>
    <row r="42" spans="1:16" ht="12.75">
      <c r="A42" s="52"/>
      <c r="B42" s="52"/>
      <c r="C42" s="186"/>
      <c r="D42" s="11">
        <v>21</v>
      </c>
      <c r="E42" s="11">
        <v>0.68810000000000004</v>
      </c>
      <c r="F42" s="89">
        <f t="shared" si="15"/>
        <v>0.23690000000000005</v>
      </c>
      <c r="G42" s="76"/>
      <c r="H42" s="89">
        <f t="shared" si="16"/>
        <v>0</v>
      </c>
      <c r="I42" s="76"/>
      <c r="M42" s="9"/>
      <c r="N42" s="1"/>
    </row>
    <row r="43" spans="1:16" ht="12.75">
      <c r="A43" s="52"/>
      <c r="B43" s="52"/>
      <c r="C43" s="194">
        <v>240</v>
      </c>
      <c r="D43" s="11">
        <v>22</v>
      </c>
      <c r="E43" s="11">
        <v>0.2273</v>
      </c>
      <c r="F43" s="89">
        <f>E43</f>
        <v>0.2273</v>
      </c>
      <c r="G43" s="76"/>
      <c r="H43" s="11">
        <f>G43</f>
        <v>0</v>
      </c>
      <c r="I43" s="76"/>
      <c r="M43" s="9"/>
      <c r="N43" s="1"/>
    </row>
    <row r="44" spans="1:16" ht="12.75">
      <c r="A44" s="52"/>
      <c r="B44" s="52"/>
      <c r="C44" s="186"/>
      <c r="D44" s="11">
        <v>23</v>
      </c>
      <c r="E44" s="11">
        <v>0.44829999999999998</v>
      </c>
      <c r="F44" s="89">
        <f t="shared" ref="F44:F45" si="17">E44-E43</f>
        <v>0.22099999999999997</v>
      </c>
      <c r="G44" s="76"/>
      <c r="H44" s="11">
        <f t="shared" ref="H44:H45" si="18">G44-G43</f>
        <v>0</v>
      </c>
      <c r="I44" s="76"/>
      <c r="M44" s="9"/>
      <c r="N44" s="1"/>
    </row>
    <row r="45" spans="1:16" ht="12.75">
      <c r="A45" s="52"/>
      <c r="B45" s="52"/>
      <c r="C45" s="186"/>
      <c r="D45" s="11">
        <v>24</v>
      </c>
      <c r="E45" s="11">
        <v>0.67390000000000005</v>
      </c>
      <c r="F45" s="89">
        <f t="shared" si="17"/>
        <v>0.22560000000000008</v>
      </c>
      <c r="G45" s="76"/>
      <c r="H45" s="11">
        <f t="shared" si="18"/>
        <v>0</v>
      </c>
      <c r="I45" s="76"/>
      <c r="M45" s="9"/>
      <c r="N45" s="1"/>
    </row>
    <row r="46" spans="1:16" ht="12.75">
      <c r="A46" s="74"/>
      <c r="B46" s="30"/>
      <c r="C46" s="30"/>
      <c r="D46" s="30"/>
      <c r="E46" s="30"/>
      <c r="F46" s="90" t="s">
        <v>216</v>
      </c>
      <c r="M46" s="9"/>
      <c r="N46" s="1"/>
    </row>
    <row r="47" spans="1:16" ht="12.75">
      <c r="A47" s="74"/>
      <c r="B47" s="30"/>
      <c r="C47" s="30"/>
      <c r="D47" s="30"/>
      <c r="E47" s="30"/>
      <c r="F47" s="91">
        <f>AVERAGE(F14:F45)</f>
        <v>0.22437499999999999</v>
      </c>
      <c r="M47" s="9"/>
      <c r="N47" s="1"/>
    </row>
    <row r="48" spans="1:16" ht="12.75">
      <c r="A48" s="74"/>
      <c r="B48" s="30"/>
      <c r="C48" s="30"/>
      <c r="D48" s="30"/>
      <c r="E48" s="30"/>
      <c r="F48" s="90" t="s">
        <v>238</v>
      </c>
      <c r="M48" s="76"/>
    </row>
    <row r="49" spans="1:13" ht="12.75">
      <c r="A49" s="74"/>
      <c r="B49" s="30"/>
      <c r="C49" s="30"/>
      <c r="D49" s="30"/>
      <c r="E49" s="30"/>
      <c r="F49" s="92">
        <f>STDEV(F14:F45)</f>
        <v>4.3419340511283572E-3</v>
      </c>
      <c r="M49" s="76"/>
    </row>
    <row r="50" spans="1:13" ht="12.75">
      <c r="A50" s="93"/>
      <c r="B50" s="94" t="s">
        <v>239</v>
      </c>
      <c r="C50" s="94" t="s">
        <v>240</v>
      </c>
      <c r="D50" s="93"/>
      <c r="E50" s="93"/>
      <c r="F50" s="95"/>
      <c r="G50" s="95"/>
      <c r="M50" s="76"/>
    </row>
    <row r="51" spans="1:13" ht="12.75">
      <c r="A51" s="94" t="s">
        <v>241</v>
      </c>
      <c r="B51" s="94" t="s">
        <v>242</v>
      </c>
      <c r="C51" s="94"/>
      <c r="D51" s="94" t="s">
        <v>243</v>
      </c>
      <c r="E51" s="94" t="s">
        <v>244</v>
      </c>
      <c r="F51" s="96" t="s">
        <v>245</v>
      </c>
      <c r="G51" s="94" t="s">
        <v>246</v>
      </c>
      <c r="M51" s="76"/>
    </row>
    <row r="52" spans="1:13" ht="12.75">
      <c r="A52" s="94" t="s">
        <v>247</v>
      </c>
      <c r="B52" s="94" t="s">
        <v>248</v>
      </c>
      <c r="C52" s="93"/>
      <c r="D52" s="94" t="s">
        <v>249</v>
      </c>
      <c r="E52" s="94" t="s">
        <v>244</v>
      </c>
      <c r="F52" s="96" t="s">
        <v>250</v>
      </c>
      <c r="G52" s="94" t="s">
        <v>246</v>
      </c>
      <c r="M52" s="76"/>
    </row>
    <row r="53" spans="1:13" ht="12.75">
      <c r="A53" s="74"/>
      <c r="B53" s="30"/>
      <c r="C53" s="30"/>
      <c r="D53" s="30"/>
      <c r="M53" s="76"/>
    </row>
    <row r="54" spans="1:13" ht="12.75">
      <c r="A54" s="74"/>
      <c r="B54" s="30"/>
      <c r="C54" s="30"/>
      <c r="D54" s="30"/>
      <c r="E54" s="30"/>
      <c r="M54" s="76"/>
    </row>
    <row r="55" spans="1:13" ht="12.75">
      <c r="A55" s="74"/>
      <c r="M55" s="76"/>
    </row>
    <row r="56" spans="1:13" ht="12.75">
      <c r="A56" s="74"/>
      <c r="M56" s="76"/>
    </row>
    <row r="57" spans="1:13" ht="12.75">
      <c r="A57" s="74"/>
      <c r="M57" s="76"/>
    </row>
    <row r="58" spans="1:13" ht="12.75">
      <c r="A58" s="74"/>
      <c r="M58" s="76"/>
    </row>
    <row r="59" spans="1:13" ht="12.75">
      <c r="A59" s="74"/>
      <c r="M59" s="76"/>
    </row>
    <row r="60" spans="1:13" ht="12.75">
      <c r="A60" s="74"/>
      <c r="M60" s="76"/>
    </row>
    <row r="61" spans="1:13" ht="12.75">
      <c r="A61" s="74"/>
      <c r="M61" s="76"/>
    </row>
    <row r="62" spans="1:13" ht="12.75">
      <c r="A62" s="74"/>
      <c r="M62" s="76"/>
    </row>
    <row r="63" spans="1:13" ht="12.75">
      <c r="A63" s="74"/>
      <c r="B63" s="30"/>
      <c r="C63" s="30"/>
      <c r="D63" s="30"/>
      <c r="E63" s="30"/>
      <c r="M63" s="76"/>
    </row>
    <row r="64" spans="1:13" ht="12.75">
      <c r="A64" s="74"/>
      <c r="B64" s="30"/>
      <c r="C64" s="30"/>
      <c r="D64" s="30"/>
      <c r="E64" s="30"/>
      <c r="M64" s="76"/>
    </row>
    <row r="65" spans="1:13" ht="12.75">
      <c r="A65" s="74"/>
      <c r="B65" s="30"/>
      <c r="C65" s="30"/>
      <c r="D65" s="30"/>
      <c r="E65" s="30"/>
      <c r="M65" s="76"/>
    </row>
    <row r="66" spans="1:13" ht="12.75">
      <c r="A66" s="74"/>
      <c r="B66" s="30"/>
      <c r="C66" s="30"/>
      <c r="D66" s="30"/>
      <c r="E66" s="30"/>
      <c r="M66" s="76"/>
    </row>
    <row r="67" spans="1:13" ht="12.75">
      <c r="A67" s="74"/>
      <c r="B67" s="30"/>
      <c r="C67" s="30"/>
      <c r="D67" s="30"/>
      <c r="E67" s="30"/>
      <c r="M67" s="76"/>
    </row>
    <row r="68" spans="1:13" ht="12.75">
      <c r="A68" s="74"/>
      <c r="B68" s="30"/>
      <c r="C68" s="30"/>
      <c r="D68" s="30"/>
      <c r="E68" s="30"/>
      <c r="M68" s="76"/>
    </row>
    <row r="69" spans="1:13" ht="12.75">
      <c r="A69" s="74"/>
      <c r="B69" s="30"/>
      <c r="C69" s="30"/>
      <c r="D69" s="30"/>
      <c r="E69" s="30"/>
      <c r="M69" s="76"/>
    </row>
    <row r="70" spans="1:13" ht="12.75">
      <c r="A70" s="74"/>
      <c r="B70" s="30"/>
      <c r="C70" s="30"/>
      <c r="D70" s="30"/>
      <c r="E70" s="30"/>
      <c r="M70" s="76"/>
    </row>
    <row r="71" spans="1:13" ht="12.75">
      <c r="A71" s="74"/>
      <c r="B71" s="30"/>
      <c r="C71" s="30"/>
      <c r="D71" s="30"/>
      <c r="E71" s="30"/>
      <c r="M71" s="76"/>
    </row>
    <row r="72" spans="1:13" ht="12.75">
      <c r="A72" s="74"/>
      <c r="B72" s="30"/>
      <c r="C72" s="30"/>
      <c r="D72" s="30"/>
      <c r="E72" s="30"/>
      <c r="M72" s="76"/>
    </row>
    <row r="73" spans="1:13" ht="12.75">
      <c r="A73" s="74"/>
      <c r="B73" s="30"/>
      <c r="C73" s="30"/>
      <c r="D73" s="30"/>
      <c r="E73" s="30"/>
      <c r="M73" s="76"/>
    </row>
    <row r="74" spans="1:13" ht="12.75">
      <c r="A74" s="74"/>
      <c r="B74" s="30"/>
      <c r="C74" s="30"/>
      <c r="D74" s="30"/>
      <c r="E74" s="30"/>
      <c r="M74" s="76"/>
    </row>
    <row r="75" spans="1:13" ht="12.75">
      <c r="A75" s="74"/>
      <c r="B75" s="30"/>
      <c r="C75" s="30"/>
      <c r="D75" s="30"/>
      <c r="E75" s="30"/>
      <c r="M75" s="76"/>
    </row>
    <row r="76" spans="1:13" ht="12.75">
      <c r="A76" s="74"/>
      <c r="B76" s="30"/>
      <c r="C76" s="30"/>
      <c r="D76" s="30"/>
      <c r="E76" s="30"/>
      <c r="M76" s="76"/>
    </row>
    <row r="77" spans="1:13" ht="12.75">
      <c r="A77" s="74"/>
      <c r="B77" s="30"/>
      <c r="C77" s="30"/>
      <c r="D77" s="30"/>
      <c r="E77" s="30"/>
      <c r="M77" s="76"/>
    </row>
    <row r="78" spans="1:13" ht="12.75">
      <c r="A78" s="74"/>
      <c r="B78" s="30"/>
      <c r="C78" s="30"/>
      <c r="D78" s="30"/>
      <c r="E78" s="30"/>
      <c r="M78" s="76"/>
    </row>
    <row r="79" spans="1:13" ht="12.75">
      <c r="A79" s="74"/>
      <c r="B79" s="30"/>
      <c r="C79" s="30"/>
      <c r="D79" s="30"/>
      <c r="E79" s="30"/>
      <c r="M79" s="76"/>
    </row>
    <row r="80" spans="1:13" ht="12.75">
      <c r="A80" s="74"/>
      <c r="B80" s="30"/>
      <c r="C80" s="30"/>
      <c r="D80" s="30"/>
      <c r="E80" s="30"/>
      <c r="M80" s="76"/>
    </row>
    <row r="81" spans="1:13" ht="12.75">
      <c r="A81" s="74"/>
      <c r="B81" s="30"/>
      <c r="C81" s="30"/>
      <c r="D81" s="30"/>
      <c r="E81" s="30"/>
      <c r="M81" s="76"/>
    </row>
    <row r="82" spans="1:13" ht="12.75">
      <c r="A82" s="74"/>
      <c r="B82" s="30"/>
      <c r="C82" s="30"/>
      <c r="D82" s="30"/>
      <c r="E82" s="30"/>
      <c r="M82" s="76"/>
    </row>
    <row r="83" spans="1:13" ht="12.75">
      <c r="A83" s="74"/>
      <c r="B83" s="30"/>
      <c r="C83" s="30"/>
      <c r="D83" s="30"/>
      <c r="E83" s="30"/>
      <c r="M83" s="76"/>
    </row>
    <row r="84" spans="1:13" ht="12.75">
      <c r="A84" s="74"/>
      <c r="B84" s="30"/>
      <c r="C84" s="30"/>
      <c r="D84" s="30"/>
      <c r="E84" s="30"/>
      <c r="M84" s="76"/>
    </row>
    <row r="85" spans="1:13" ht="12.75">
      <c r="A85" s="74"/>
      <c r="B85" s="30"/>
      <c r="C85" s="30"/>
      <c r="D85" s="30"/>
      <c r="E85" s="30"/>
      <c r="M85" s="76"/>
    </row>
    <row r="86" spans="1:13" ht="12.75">
      <c r="A86" s="74"/>
      <c r="B86" s="30"/>
      <c r="C86" s="30"/>
      <c r="D86" s="30"/>
      <c r="E86" s="30"/>
      <c r="M86" s="76"/>
    </row>
    <row r="87" spans="1:13" ht="12.75">
      <c r="A87" s="74"/>
      <c r="B87" s="30"/>
      <c r="C87" s="30"/>
      <c r="D87" s="30"/>
      <c r="E87" s="30"/>
      <c r="M87" s="76"/>
    </row>
    <row r="88" spans="1:13" ht="12.75">
      <c r="A88" s="74"/>
      <c r="B88" s="30"/>
      <c r="C88" s="30"/>
      <c r="D88" s="30"/>
      <c r="E88" s="30"/>
      <c r="M88" s="76"/>
    </row>
    <row r="89" spans="1:13" ht="12.75">
      <c r="A89" s="74"/>
      <c r="B89" s="30"/>
      <c r="C89" s="30"/>
      <c r="D89" s="30"/>
      <c r="E89" s="30"/>
      <c r="M89" s="76"/>
    </row>
    <row r="90" spans="1:13" ht="12.75">
      <c r="A90" s="74"/>
      <c r="B90" s="30"/>
      <c r="C90" s="30"/>
      <c r="D90" s="30"/>
      <c r="E90" s="30"/>
      <c r="M90" s="76"/>
    </row>
    <row r="91" spans="1:13" ht="12.75">
      <c r="A91" s="74"/>
      <c r="B91" s="30"/>
      <c r="C91" s="30"/>
      <c r="D91" s="30"/>
      <c r="E91" s="30"/>
      <c r="M91" s="76"/>
    </row>
    <row r="92" spans="1:13" ht="12.75">
      <c r="A92" s="74"/>
      <c r="B92" s="30"/>
      <c r="C92" s="30"/>
      <c r="D92" s="30"/>
      <c r="E92" s="30"/>
      <c r="M92" s="76"/>
    </row>
    <row r="93" spans="1:13" ht="12.75">
      <c r="A93" s="74"/>
      <c r="B93" s="30"/>
      <c r="C93" s="30"/>
      <c r="D93" s="30"/>
      <c r="E93" s="30"/>
      <c r="M93" s="76"/>
    </row>
    <row r="94" spans="1:13" ht="12.75">
      <c r="A94" s="74"/>
      <c r="B94" s="30"/>
      <c r="C94" s="30"/>
      <c r="D94" s="30"/>
      <c r="E94" s="30"/>
      <c r="M94" s="76"/>
    </row>
    <row r="95" spans="1:13" ht="12.75">
      <c r="A95" s="74"/>
      <c r="B95" s="30"/>
      <c r="C95" s="30"/>
      <c r="D95" s="30"/>
      <c r="E95" s="30"/>
      <c r="M95" s="76"/>
    </row>
    <row r="96" spans="1:13" ht="12.75">
      <c r="A96" s="74"/>
      <c r="B96" s="30"/>
      <c r="C96" s="30"/>
      <c r="D96" s="30"/>
      <c r="E96" s="30"/>
      <c r="M96" s="76"/>
    </row>
    <row r="97" spans="1:13" ht="12.75">
      <c r="A97" s="74"/>
      <c r="B97" s="30"/>
      <c r="C97" s="30"/>
      <c r="D97" s="30"/>
      <c r="E97" s="30"/>
      <c r="M97" s="76"/>
    </row>
    <row r="98" spans="1:13" ht="12.75">
      <c r="A98" s="74"/>
      <c r="B98" s="30"/>
      <c r="C98" s="30"/>
      <c r="D98" s="30"/>
      <c r="E98" s="30"/>
      <c r="M98" s="76"/>
    </row>
    <row r="99" spans="1:13" ht="12.75">
      <c r="A99" s="74"/>
      <c r="B99" s="30"/>
      <c r="C99" s="30"/>
      <c r="D99" s="30"/>
      <c r="E99" s="30"/>
      <c r="M99" s="76"/>
    </row>
    <row r="100" spans="1:13" ht="12.75">
      <c r="A100" s="74"/>
      <c r="B100" s="30"/>
      <c r="C100" s="30"/>
      <c r="D100" s="30"/>
      <c r="E100" s="30"/>
      <c r="M100" s="76"/>
    </row>
    <row r="101" spans="1:13" ht="12.75">
      <c r="A101" s="74"/>
      <c r="B101" s="30"/>
      <c r="C101" s="30"/>
      <c r="D101" s="30"/>
      <c r="E101" s="30"/>
      <c r="M101" s="76"/>
    </row>
    <row r="102" spans="1:13" ht="12.75">
      <c r="A102" s="74"/>
      <c r="B102" s="30"/>
      <c r="C102" s="30"/>
      <c r="D102" s="30"/>
      <c r="E102" s="30"/>
      <c r="M102" s="76"/>
    </row>
    <row r="103" spans="1:13" ht="12.75">
      <c r="A103" s="74"/>
      <c r="B103" s="30"/>
      <c r="C103" s="30"/>
      <c r="D103" s="30"/>
      <c r="E103" s="30"/>
      <c r="M103" s="76"/>
    </row>
    <row r="104" spans="1:13" ht="12.75">
      <c r="A104" s="74"/>
      <c r="B104" s="30"/>
      <c r="C104" s="30"/>
      <c r="D104" s="30"/>
      <c r="E104" s="30"/>
      <c r="M104" s="76"/>
    </row>
    <row r="105" spans="1:13" ht="12.75">
      <c r="A105" s="74"/>
      <c r="B105" s="30"/>
      <c r="C105" s="30"/>
      <c r="D105" s="30"/>
      <c r="E105" s="30"/>
      <c r="M105" s="76"/>
    </row>
    <row r="106" spans="1:13" ht="12.75">
      <c r="A106" s="74"/>
      <c r="B106" s="30"/>
      <c r="C106" s="30"/>
      <c r="D106" s="30"/>
      <c r="E106" s="30"/>
      <c r="M106" s="76"/>
    </row>
    <row r="107" spans="1:13" ht="12.75">
      <c r="A107" s="74"/>
      <c r="B107" s="30"/>
      <c r="C107" s="30"/>
      <c r="D107" s="30"/>
      <c r="E107" s="30"/>
      <c r="M107" s="76"/>
    </row>
    <row r="108" spans="1:13" ht="12.75">
      <c r="A108" s="74"/>
      <c r="B108" s="30"/>
      <c r="C108" s="30"/>
      <c r="D108" s="30"/>
      <c r="E108" s="30"/>
      <c r="M108" s="76"/>
    </row>
    <row r="109" spans="1:13" ht="12.75">
      <c r="A109" s="74"/>
      <c r="B109" s="30"/>
      <c r="C109" s="30"/>
      <c r="D109" s="30"/>
      <c r="E109" s="30"/>
      <c r="M109" s="76"/>
    </row>
    <row r="110" spans="1:13" ht="12.75">
      <c r="A110" s="74"/>
      <c r="B110" s="30"/>
      <c r="C110" s="30"/>
      <c r="D110" s="30"/>
      <c r="E110" s="30"/>
      <c r="M110" s="76"/>
    </row>
    <row r="111" spans="1:13" ht="12.75">
      <c r="A111" s="74"/>
      <c r="B111" s="30"/>
      <c r="C111" s="30"/>
      <c r="D111" s="30"/>
      <c r="E111" s="30"/>
      <c r="M111" s="76"/>
    </row>
    <row r="112" spans="1:13" ht="12.75">
      <c r="A112" s="74"/>
      <c r="B112" s="30"/>
      <c r="C112" s="30"/>
      <c r="D112" s="30"/>
      <c r="E112" s="30"/>
      <c r="M112" s="76"/>
    </row>
    <row r="113" spans="1:13" ht="12.75">
      <c r="A113" s="74"/>
      <c r="B113" s="30"/>
      <c r="C113" s="30"/>
      <c r="D113" s="30"/>
      <c r="E113" s="30"/>
      <c r="M113" s="76"/>
    </row>
    <row r="114" spans="1:13" ht="12.75">
      <c r="A114" s="74"/>
      <c r="B114" s="30"/>
      <c r="C114" s="30"/>
      <c r="D114" s="30"/>
      <c r="E114" s="30"/>
      <c r="M114" s="76"/>
    </row>
    <row r="115" spans="1:13" ht="12.75">
      <c r="A115" s="74"/>
      <c r="B115" s="30"/>
      <c r="C115" s="30"/>
      <c r="D115" s="30"/>
      <c r="E115" s="30"/>
      <c r="M115" s="76"/>
    </row>
    <row r="116" spans="1:13" ht="12.75">
      <c r="A116" s="74"/>
      <c r="B116" s="30"/>
      <c r="C116" s="30"/>
      <c r="D116" s="30"/>
      <c r="E116" s="30"/>
      <c r="M116" s="76"/>
    </row>
    <row r="117" spans="1:13" ht="12.75">
      <c r="A117" s="74"/>
      <c r="B117" s="30"/>
      <c r="C117" s="30"/>
      <c r="D117" s="30"/>
      <c r="E117" s="30"/>
      <c r="M117" s="76"/>
    </row>
    <row r="118" spans="1:13" ht="12.75">
      <c r="A118" s="74"/>
      <c r="B118" s="30"/>
      <c r="C118" s="30"/>
      <c r="D118" s="30"/>
      <c r="E118" s="30"/>
      <c r="M118" s="76"/>
    </row>
    <row r="119" spans="1:13" ht="12.75">
      <c r="A119" s="74"/>
      <c r="B119" s="30"/>
      <c r="C119" s="30"/>
      <c r="D119" s="30"/>
      <c r="E119" s="30"/>
      <c r="M119" s="76"/>
    </row>
    <row r="120" spans="1:13" ht="12.75">
      <c r="A120" s="74"/>
      <c r="B120" s="30"/>
      <c r="C120" s="30"/>
      <c r="D120" s="30"/>
      <c r="E120" s="30"/>
      <c r="M120" s="76"/>
    </row>
    <row r="121" spans="1:13" ht="12.75">
      <c r="A121" s="74"/>
      <c r="B121" s="30"/>
      <c r="C121" s="30"/>
      <c r="D121" s="30"/>
      <c r="E121" s="30"/>
      <c r="M121" s="76"/>
    </row>
    <row r="122" spans="1:13" ht="12.75">
      <c r="A122" s="74"/>
      <c r="B122" s="30"/>
      <c r="C122" s="30"/>
      <c r="D122" s="30"/>
      <c r="E122" s="30"/>
      <c r="M122" s="76"/>
    </row>
    <row r="123" spans="1:13" ht="12.75">
      <c r="A123" s="74"/>
      <c r="B123" s="30"/>
      <c r="C123" s="30"/>
      <c r="D123" s="30"/>
      <c r="E123" s="30"/>
      <c r="M123" s="76"/>
    </row>
    <row r="124" spans="1:13" ht="12.75">
      <c r="A124" s="74"/>
      <c r="B124" s="30"/>
      <c r="C124" s="30"/>
      <c r="D124" s="30"/>
      <c r="E124" s="30"/>
      <c r="M124" s="76"/>
    </row>
    <row r="125" spans="1:13" ht="12.75">
      <c r="A125" s="74"/>
      <c r="B125" s="30"/>
      <c r="C125" s="30"/>
      <c r="D125" s="30"/>
      <c r="E125" s="30"/>
      <c r="M125" s="76"/>
    </row>
    <row r="126" spans="1:13" ht="12.75">
      <c r="A126" s="74"/>
      <c r="B126" s="30"/>
      <c r="C126" s="30"/>
      <c r="D126" s="30"/>
      <c r="E126" s="30"/>
      <c r="M126" s="76"/>
    </row>
    <row r="127" spans="1:13" ht="12.75">
      <c r="A127" s="74"/>
      <c r="B127" s="30"/>
      <c r="C127" s="30"/>
      <c r="D127" s="30"/>
      <c r="E127" s="30"/>
      <c r="M127" s="76"/>
    </row>
    <row r="128" spans="1:13" ht="12.75">
      <c r="A128" s="74"/>
      <c r="B128" s="30"/>
      <c r="C128" s="30"/>
      <c r="D128" s="30"/>
      <c r="E128" s="30"/>
      <c r="M128" s="76"/>
    </row>
    <row r="129" spans="1:13" ht="12.75">
      <c r="A129" s="74"/>
      <c r="B129" s="30"/>
      <c r="C129" s="30"/>
      <c r="D129" s="30"/>
      <c r="E129" s="30"/>
      <c r="M129" s="76"/>
    </row>
    <row r="130" spans="1:13" ht="12.75">
      <c r="A130" s="74"/>
      <c r="B130" s="30"/>
      <c r="C130" s="30"/>
      <c r="D130" s="30"/>
      <c r="E130" s="30"/>
      <c r="M130" s="76"/>
    </row>
    <row r="131" spans="1:13" ht="12.75">
      <c r="A131" s="74"/>
      <c r="B131" s="30"/>
      <c r="C131" s="30"/>
      <c r="D131" s="30"/>
      <c r="E131" s="30"/>
      <c r="M131" s="76"/>
    </row>
    <row r="132" spans="1:13" ht="12.75">
      <c r="A132" s="74"/>
      <c r="B132" s="30"/>
      <c r="C132" s="30"/>
      <c r="D132" s="30"/>
      <c r="E132" s="30"/>
      <c r="M132" s="76"/>
    </row>
    <row r="133" spans="1:13" ht="12.75">
      <c r="A133" s="74"/>
      <c r="B133" s="30"/>
      <c r="C133" s="30"/>
      <c r="D133" s="30"/>
      <c r="E133" s="30"/>
      <c r="M133" s="76"/>
    </row>
    <row r="134" spans="1:13" ht="12.75">
      <c r="A134" s="74"/>
      <c r="B134" s="30"/>
      <c r="C134" s="30"/>
      <c r="D134" s="30"/>
      <c r="E134" s="30"/>
      <c r="M134" s="76"/>
    </row>
    <row r="135" spans="1:13" ht="12.75">
      <c r="A135" s="74"/>
      <c r="B135" s="30"/>
      <c r="C135" s="30"/>
      <c r="D135" s="30"/>
      <c r="E135" s="30"/>
      <c r="M135" s="76"/>
    </row>
    <row r="136" spans="1:13" ht="12.75">
      <c r="A136" s="74"/>
      <c r="B136" s="30"/>
      <c r="C136" s="30"/>
      <c r="D136" s="30"/>
      <c r="E136" s="30"/>
      <c r="M136" s="76"/>
    </row>
    <row r="137" spans="1:13" ht="12.75">
      <c r="A137" s="74"/>
      <c r="B137" s="30"/>
      <c r="C137" s="30"/>
      <c r="D137" s="30"/>
      <c r="E137" s="30"/>
      <c r="M137" s="76"/>
    </row>
    <row r="138" spans="1:13" ht="12.75">
      <c r="A138" s="74"/>
      <c r="B138" s="30"/>
      <c r="C138" s="30"/>
      <c r="D138" s="30"/>
      <c r="E138" s="30"/>
      <c r="M138" s="76"/>
    </row>
    <row r="139" spans="1:13" ht="12.75">
      <c r="A139" s="74"/>
      <c r="B139" s="30"/>
      <c r="C139" s="30"/>
      <c r="D139" s="30"/>
      <c r="E139" s="30"/>
      <c r="M139" s="76"/>
    </row>
    <row r="140" spans="1:13" ht="12.75">
      <c r="A140" s="74"/>
      <c r="B140" s="30"/>
      <c r="C140" s="30"/>
      <c r="D140" s="30"/>
      <c r="E140" s="30"/>
      <c r="M140" s="76"/>
    </row>
    <row r="141" spans="1:13" ht="12.75">
      <c r="A141" s="74"/>
      <c r="B141" s="30"/>
      <c r="C141" s="30"/>
      <c r="D141" s="30"/>
      <c r="E141" s="30"/>
      <c r="M141" s="76"/>
    </row>
    <row r="142" spans="1:13" ht="12.75">
      <c r="A142" s="74"/>
      <c r="B142" s="30"/>
      <c r="C142" s="30"/>
      <c r="D142" s="30"/>
      <c r="E142" s="30"/>
      <c r="M142" s="76"/>
    </row>
    <row r="143" spans="1:13" ht="12.75">
      <c r="A143" s="74"/>
      <c r="B143" s="30"/>
      <c r="C143" s="30"/>
      <c r="D143" s="30"/>
      <c r="E143" s="30"/>
      <c r="M143" s="76"/>
    </row>
    <row r="144" spans="1:13" ht="12.75">
      <c r="A144" s="74"/>
      <c r="B144" s="30"/>
      <c r="C144" s="30"/>
      <c r="D144" s="30"/>
      <c r="E144" s="30"/>
      <c r="M144" s="76"/>
    </row>
    <row r="145" spans="1:13" ht="12.75">
      <c r="A145" s="74"/>
      <c r="B145" s="30"/>
      <c r="C145" s="30"/>
      <c r="D145" s="30"/>
      <c r="E145" s="30"/>
      <c r="M145" s="76"/>
    </row>
    <row r="146" spans="1:13" ht="12.75">
      <c r="A146" s="74"/>
      <c r="B146" s="30"/>
      <c r="C146" s="30"/>
      <c r="D146" s="30"/>
      <c r="E146" s="30"/>
      <c r="M146" s="76"/>
    </row>
    <row r="147" spans="1:13" ht="12.75">
      <c r="A147" s="74"/>
      <c r="B147" s="30"/>
      <c r="C147" s="30"/>
      <c r="D147" s="30"/>
      <c r="E147" s="30"/>
      <c r="M147" s="76"/>
    </row>
    <row r="148" spans="1:13" ht="12.75">
      <c r="A148" s="74"/>
      <c r="B148" s="30"/>
      <c r="C148" s="30"/>
      <c r="D148" s="30"/>
      <c r="E148" s="30"/>
      <c r="M148" s="76"/>
    </row>
    <row r="149" spans="1:13" ht="12.75">
      <c r="A149" s="74"/>
      <c r="B149" s="30"/>
      <c r="C149" s="30"/>
      <c r="D149" s="30"/>
      <c r="E149" s="30"/>
      <c r="M149" s="76"/>
    </row>
    <row r="150" spans="1:13" ht="12.75">
      <c r="A150" s="74"/>
      <c r="B150" s="30"/>
      <c r="C150" s="30"/>
      <c r="D150" s="30"/>
      <c r="E150" s="30"/>
      <c r="M150" s="76"/>
    </row>
    <row r="151" spans="1:13" ht="12.75">
      <c r="A151" s="74"/>
      <c r="B151" s="30"/>
      <c r="C151" s="30"/>
      <c r="D151" s="30"/>
      <c r="E151" s="30"/>
      <c r="M151" s="76"/>
    </row>
    <row r="152" spans="1:13" ht="12.75">
      <c r="A152" s="74"/>
      <c r="B152" s="30"/>
      <c r="C152" s="30"/>
      <c r="D152" s="30"/>
      <c r="E152" s="30"/>
      <c r="M152" s="76"/>
    </row>
    <row r="153" spans="1:13" ht="12.75">
      <c r="A153" s="74"/>
      <c r="B153" s="30"/>
      <c r="C153" s="30"/>
      <c r="D153" s="30"/>
      <c r="E153" s="30"/>
      <c r="M153" s="76"/>
    </row>
    <row r="154" spans="1:13" ht="12.75">
      <c r="A154" s="74"/>
      <c r="B154" s="30"/>
      <c r="C154" s="30"/>
      <c r="D154" s="30"/>
      <c r="E154" s="30"/>
      <c r="M154" s="76"/>
    </row>
    <row r="155" spans="1:13" ht="12.75">
      <c r="A155" s="74"/>
      <c r="B155" s="30"/>
      <c r="C155" s="30"/>
      <c r="D155" s="30"/>
      <c r="E155" s="30"/>
      <c r="M155" s="76"/>
    </row>
    <row r="156" spans="1:13" ht="12.75">
      <c r="A156" s="74"/>
      <c r="B156" s="30"/>
      <c r="C156" s="30"/>
      <c r="D156" s="30"/>
      <c r="E156" s="30"/>
      <c r="M156" s="76"/>
    </row>
    <row r="157" spans="1:13" ht="12.75">
      <c r="A157" s="74"/>
      <c r="B157" s="30"/>
      <c r="C157" s="30"/>
      <c r="D157" s="30"/>
      <c r="E157" s="30"/>
      <c r="M157" s="76"/>
    </row>
    <row r="158" spans="1:13" ht="12.75">
      <c r="A158" s="74"/>
      <c r="B158" s="30"/>
      <c r="C158" s="30"/>
      <c r="D158" s="30"/>
      <c r="E158" s="30"/>
      <c r="M158" s="76"/>
    </row>
    <row r="159" spans="1:13" ht="12.75">
      <c r="A159" s="74"/>
      <c r="B159" s="30"/>
      <c r="C159" s="30"/>
      <c r="D159" s="30"/>
      <c r="E159" s="30"/>
      <c r="M159" s="76"/>
    </row>
    <row r="160" spans="1:13" ht="12.75">
      <c r="A160" s="74"/>
      <c r="B160" s="30"/>
      <c r="C160" s="30"/>
      <c r="D160" s="30"/>
      <c r="E160" s="30"/>
      <c r="M160" s="76"/>
    </row>
    <row r="161" spans="1:13" ht="12.75">
      <c r="A161" s="74"/>
      <c r="B161" s="30"/>
      <c r="C161" s="30"/>
      <c r="D161" s="30"/>
      <c r="E161" s="30"/>
      <c r="M161" s="76"/>
    </row>
    <row r="162" spans="1:13" ht="12.75">
      <c r="A162" s="74"/>
      <c r="B162" s="30"/>
      <c r="C162" s="30"/>
      <c r="D162" s="30"/>
      <c r="E162" s="30"/>
      <c r="M162" s="76"/>
    </row>
    <row r="163" spans="1:13" ht="12.75">
      <c r="A163" s="74"/>
      <c r="B163" s="30"/>
      <c r="C163" s="30"/>
      <c r="D163" s="30"/>
      <c r="E163" s="30"/>
      <c r="M163" s="76"/>
    </row>
    <row r="164" spans="1:13" ht="12.75">
      <c r="A164" s="74"/>
      <c r="B164" s="30"/>
      <c r="C164" s="30"/>
      <c r="D164" s="30"/>
      <c r="E164" s="30"/>
      <c r="M164" s="76"/>
    </row>
    <row r="165" spans="1:13" ht="12.75">
      <c r="A165" s="74"/>
      <c r="B165" s="30"/>
      <c r="C165" s="30"/>
      <c r="D165" s="30"/>
      <c r="E165" s="30"/>
      <c r="M165" s="76"/>
    </row>
    <row r="166" spans="1:13" ht="12.75">
      <c r="A166" s="74"/>
      <c r="B166" s="30"/>
      <c r="C166" s="30"/>
      <c r="D166" s="30"/>
      <c r="E166" s="30"/>
      <c r="M166" s="76"/>
    </row>
    <row r="167" spans="1:13" ht="12.75">
      <c r="A167" s="74"/>
      <c r="B167" s="30"/>
      <c r="C167" s="30"/>
      <c r="D167" s="30"/>
      <c r="E167" s="30"/>
      <c r="M167" s="76"/>
    </row>
    <row r="168" spans="1:13" ht="12.75">
      <c r="A168" s="74"/>
      <c r="B168" s="30"/>
      <c r="C168" s="30"/>
      <c r="D168" s="30"/>
      <c r="E168" s="30"/>
      <c r="M168" s="76"/>
    </row>
    <row r="169" spans="1:13" ht="12.75">
      <c r="A169" s="74"/>
      <c r="B169" s="30"/>
      <c r="C169" s="30"/>
      <c r="D169" s="30"/>
      <c r="E169" s="30"/>
      <c r="M169" s="76"/>
    </row>
    <row r="170" spans="1:13" ht="12.75">
      <c r="A170" s="74"/>
      <c r="B170" s="30"/>
      <c r="C170" s="30"/>
      <c r="D170" s="30"/>
      <c r="E170" s="30"/>
      <c r="M170" s="76"/>
    </row>
    <row r="171" spans="1:13" ht="12.75">
      <c r="A171" s="74"/>
      <c r="B171" s="30"/>
      <c r="C171" s="30"/>
      <c r="D171" s="30"/>
      <c r="E171" s="30"/>
      <c r="M171" s="76"/>
    </row>
    <row r="172" spans="1:13" ht="12.75">
      <c r="A172" s="74"/>
      <c r="B172" s="30"/>
      <c r="C172" s="30"/>
      <c r="D172" s="30"/>
      <c r="E172" s="30"/>
      <c r="M172" s="76"/>
    </row>
    <row r="173" spans="1:13" ht="12.75">
      <c r="A173" s="74"/>
      <c r="B173" s="30"/>
      <c r="C173" s="30"/>
      <c r="D173" s="30"/>
      <c r="E173" s="30"/>
      <c r="M173" s="76"/>
    </row>
    <row r="174" spans="1:13" ht="12.75">
      <c r="A174" s="74"/>
      <c r="B174" s="30"/>
      <c r="C174" s="30"/>
      <c r="D174" s="30"/>
      <c r="E174" s="30"/>
      <c r="M174" s="76"/>
    </row>
    <row r="175" spans="1:13" ht="12.75">
      <c r="A175" s="74"/>
      <c r="B175" s="30"/>
      <c r="C175" s="30"/>
      <c r="D175" s="30"/>
      <c r="E175" s="30"/>
      <c r="M175" s="76"/>
    </row>
    <row r="176" spans="1:13" ht="12.75">
      <c r="A176" s="74"/>
      <c r="B176" s="30"/>
      <c r="C176" s="30"/>
      <c r="D176" s="30"/>
      <c r="E176" s="30"/>
      <c r="M176" s="76"/>
    </row>
    <row r="177" spans="1:13" ht="12.75">
      <c r="A177" s="74"/>
      <c r="B177" s="30"/>
      <c r="C177" s="30"/>
      <c r="D177" s="30"/>
      <c r="E177" s="30"/>
      <c r="M177" s="76"/>
    </row>
    <row r="178" spans="1:13" ht="12.75">
      <c r="A178" s="74"/>
      <c r="B178" s="30"/>
      <c r="C178" s="30"/>
      <c r="D178" s="30"/>
      <c r="E178" s="30"/>
      <c r="M178" s="76"/>
    </row>
    <row r="179" spans="1:13" ht="12.75">
      <c r="A179" s="74"/>
      <c r="B179" s="30"/>
      <c r="C179" s="30"/>
      <c r="D179" s="30"/>
      <c r="E179" s="30"/>
      <c r="M179" s="76"/>
    </row>
    <row r="180" spans="1:13" ht="12.75">
      <c r="A180" s="74"/>
      <c r="B180" s="30"/>
      <c r="C180" s="30"/>
      <c r="D180" s="30"/>
      <c r="E180" s="30"/>
      <c r="M180" s="76"/>
    </row>
    <row r="181" spans="1:13" ht="12.75">
      <c r="A181" s="74"/>
      <c r="B181" s="30"/>
      <c r="C181" s="30"/>
      <c r="D181" s="30"/>
      <c r="E181" s="30"/>
      <c r="M181" s="76"/>
    </row>
    <row r="182" spans="1:13" ht="12.75">
      <c r="A182" s="74"/>
      <c r="B182" s="30"/>
      <c r="C182" s="30"/>
      <c r="D182" s="30"/>
      <c r="E182" s="30"/>
      <c r="M182" s="76"/>
    </row>
    <row r="183" spans="1:13" ht="12.75">
      <c r="A183" s="74"/>
      <c r="B183" s="30"/>
      <c r="C183" s="30"/>
      <c r="D183" s="30"/>
      <c r="E183" s="30"/>
      <c r="M183" s="76"/>
    </row>
    <row r="184" spans="1:13" ht="12.75">
      <c r="A184" s="74"/>
      <c r="B184" s="30"/>
      <c r="C184" s="30"/>
      <c r="D184" s="30"/>
      <c r="E184" s="30"/>
      <c r="M184" s="76"/>
    </row>
    <row r="185" spans="1:13" ht="12.75">
      <c r="A185" s="74"/>
      <c r="B185" s="30"/>
      <c r="C185" s="30"/>
      <c r="D185" s="30"/>
      <c r="E185" s="30"/>
      <c r="M185" s="76"/>
    </row>
    <row r="186" spans="1:13" ht="12.75">
      <c r="A186" s="74"/>
      <c r="B186" s="30"/>
      <c r="C186" s="30"/>
      <c r="D186" s="30"/>
      <c r="E186" s="30"/>
      <c r="M186" s="76"/>
    </row>
    <row r="187" spans="1:13" ht="12.75">
      <c r="A187" s="74"/>
      <c r="B187" s="30"/>
      <c r="C187" s="30"/>
      <c r="D187" s="30"/>
      <c r="E187" s="30"/>
      <c r="M187" s="76"/>
    </row>
    <row r="188" spans="1:13" ht="12.75">
      <c r="A188" s="74"/>
      <c r="B188" s="30"/>
      <c r="C188" s="30"/>
      <c r="D188" s="30"/>
      <c r="E188" s="30"/>
      <c r="M188" s="76"/>
    </row>
    <row r="189" spans="1:13" ht="12.75">
      <c r="A189" s="74"/>
      <c r="B189" s="30"/>
      <c r="C189" s="30"/>
      <c r="D189" s="30"/>
      <c r="E189" s="30"/>
      <c r="M189" s="76"/>
    </row>
    <row r="190" spans="1:13" ht="12.75">
      <c r="A190" s="74"/>
      <c r="B190" s="30"/>
      <c r="C190" s="30"/>
      <c r="D190" s="30"/>
      <c r="E190" s="30"/>
      <c r="M190" s="76"/>
    </row>
    <row r="191" spans="1:13" ht="12.75">
      <c r="A191" s="74"/>
      <c r="B191" s="30"/>
      <c r="C191" s="30"/>
      <c r="D191" s="30"/>
      <c r="E191" s="30"/>
      <c r="M191" s="76"/>
    </row>
    <row r="192" spans="1:13" ht="12.75">
      <c r="A192" s="74"/>
      <c r="B192" s="30"/>
      <c r="C192" s="30"/>
      <c r="D192" s="30"/>
      <c r="E192" s="30"/>
      <c r="M192" s="76"/>
    </row>
    <row r="193" spans="1:13" ht="12.75">
      <c r="A193" s="74"/>
      <c r="B193" s="30"/>
      <c r="C193" s="30"/>
      <c r="D193" s="30"/>
      <c r="E193" s="30"/>
      <c r="M193" s="76"/>
    </row>
    <row r="194" spans="1:13" ht="12.75">
      <c r="A194" s="74"/>
      <c r="B194" s="30"/>
      <c r="C194" s="30"/>
      <c r="D194" s="30"/>
      <c r="E194" s="30"/>
      <c r="M194" s="76"/>
    </row>
    <row r="195" spans="1:13" ht="12.75">
      <c r="A195" s="74"/>
      <c r="B195" s="30"/>
      <c r="C195" s="30"/>
      <c r="D195" s="30"/>
      <c r="E195" s="30"/>
      <c r="M195" s="76"/>
    </row>
    <row r="196" spans="1:13" ht="12.75">
      <c r="A196" s="74"/>
      <c r="B196" s="30"/>
      <c r="C196" s="30"/>
      <c r="D196" s="30"/>
      <c r="E196" s="30"/>
      <c r="M196" s="76"/>
    </row>
    <row r="197" spans="1:13" ht="12.75">
      <c r="A197" s="74"/>
      <c r="B197" s="30"/>
      <c r="C197" s="30"/>
      <c r="D197" s="30"/>
      <c r="E197" s="30"/>
      <c r="M197" s="76"/>
    </row>
    <row r="198" spans="1:13" ht="12.75">
      <c r="A198" s="74"/>
      <c r="B198" s="30"/>
      <c r="C198" s="30"/>
      <c r="D198" s="30"/>
      <c r="E198" s="30"/>
      <c r="M198" s="76"/>
    </row>
    <row r="199" spans="1:13" ht="12.75">
      <c r="A199" s="74"/>
      <c r="B199" s="30"/>
      <c r="C199" s="30"/>
      <c r="D199" s="30"/>
      <c r="E199" s="30"/>
      <c r="M199" s="76"/>
    </row>
    <row r="200" spans="1:13" ht="12.75">
      <c r="A200" s="74"/>
      <c r="B200" s="30"/>
      <c r="C200" s="30"/>
      <c r="D200" s="30"/>
      <c r="E200" s="30"/>
      <c r="M200" s="76"/>
    </row>
    <row r="201" spans="1:13" ht="12.75">
      <c r="A201" s="74"/>
      <c r="B201" s="30"/>
      <c r="C201" s="30"/>
      <c r="D201" s="30"/>
      <c r="E201" s="30"/>
      <c r="M201" s="76"/>
    </row>
    <row r="202" spans="1:13" ht="12.75">
      <c r="A202" s="74"/>
      <c r="B202" s="30"/>
      <c r="C202" s="30"/>
      <c r="D202" s="30"/>
      <c r="E202" s="30"/>
      <c r="M202" s="76"/>
    </row>
    <row r="203" spans="1:13" ht="12.75">
      <c r="A203" s="74"/>
      <c r="B203" s="30"/>
      <c r="C203" s="30"/>
      <c r="D203" s="30"/>
      <c r="E203" s="30"/>
      <c r="M203" s="76"/>
    </row>
    <row r="204" spans="1:13" ht="12.75">
      <c r="A204" s="74"/>
      <c r="B204" s="30"/>
      <c r="C204" s="30"/>
      <c r="D204" s="30"/>
      <c r="E204" s="30"/>
      <c r="M204" s="76"/>
    </row>
    <row r="205" spans="1:13" ht="12.75">
      <c r="A205" s="74"/>
      <c r="B205" s="30"/>
      <c r="C205" s="30"/>
      <c r="D205" s="30"/>
      <c r="E205" s="30"/>
      <c r="M205" s="76"/>
    </row>
    <row r="206" spans="1:13" ht="12.75">
      <c r="A206" s="74"/>
      <c r="B206" s="30"/>
      <c r="C206" s="30"/>
      <c r="D206" s="30"/>
      <c r="E206" s="30"/>
      <c r="M206" s="76"/>
    </row>
    <row r="207" spans="1:13" ht="12.75">
      <c r="A207" s="74"/>
      <c r="B207" s="30"/>
      <c r="C207" s="30"/>
      <c r="D207" s="30"/>
      <c r="E207" s="30"/>
      <c r="M207" s="76"/>
    </row>
    <row r="208" spans="1:13" ht="12.75">
      <c r="A208" s="74"/>
      <c r="B208" s="30"/>
      <c r="C208" s="30"/>
      <c r="D208" s="30"/>
      <c r="E208" s="30"/>
      <c r="M208" s="76"/>
    </row>
    <row r="209" spans="1:13" ht="12.75">
      <c r="A209" s="74"/>
      <c r="B209" s="30"/>
      <c r="C209" s="30"/>
      <c r="D209" s="30"/>
      <c r="E209" s="30"/>
      <c r="M209" s="76"/>
    </row>
    <row r="210" spans="1:13" ht="12.75">
      <c r="A210" s="74"/>
      <c r="B210" s="30"/>
      <c r="C210" s="30"/>
      <c r="D210" s="30"/>
      <c r="E210" s="30"/>
      <c r="M210" s="76"/>
    </row>
    <row r="211" spans="1:13" ht="12.75">
      <c r="A211" s="74"/>
      <c r="B211" s="30"/>
      <c r="C211" s="30"/>
      <c r="D211" s="30"/>
      <c r="E211" s="30"/>
      <c r="M211" s="76"/>
    </row>
    <row r="212" spans="1:13" ht="12.75">
      <c r="A212" s="74"/>
      <c r="B212" s="30"/>
      <c r="C212" s="30"/>
      <c r="D212" s="30"/>
      <c r="E212" s="30"/>
      <c r="M212" s="76"/>
    </row>
    <row r="213" spans="1:13" ht="12.75">
      <c r="A213" s="74"/>
      <c r="B213" s="30"/>
      <c r="C213" s="30"/>
      <c r="D213" s="30"/>
      <c r="E213" s="30"/>
      <c r="M213" s="76"/>
    </row>
    <row r="214" spans="1:13" ht="12.75">
      <c r="A214" s="74"/>
      <c r="B214" s="30"/>
      <c r="C214" s="30"/>
      <c r="D214" s="30"/>
      <c r="E214" s="30"/>
      <c r="M214" s="76"/>
    </row>
    <row r="215" spans="1:13" ht="12.75">
      <c r="A215" s="74"/>
      <c r="B215" s="30"/>
      <c r="C215" s="30"/>
      <c r="D215" s="30"/>
      <c r="E215" s="30"/>
      <c r="M215" s="76"/>
    </row>
    <row r="216" spans="1:13" ht="12.75">
      <c r="A216" s="74"/>
      <c r="B216" s="30"/>
      <c r="C216" s="30"/>
      <c r="D216" s="30"/>
      <c r="E216" s="30"/>
      <c r="M216" s="76"/>
    </row>
    <row r="217" spans="1:13" ht="12.75">
      <c r="A217" s="74"/>
      <c r="B217" s="30"/>
      <c r="C217" s="30"/>
      <c r="D217" s="30"/>
      <c r="E217" s="30"/>
      <c r="M217" s="76"/>
    </row>
    <row r="218" spans="1:13" ht="12.75">
      <c r="A218" s="74"/>
      <c r="B218" s="30"/>
      <c r="C218" s="30"/>
      <c r="D218" s="30"/>
      <c r="E218" s="30"/>
      <c r="M218" s="76"/>
    </row>
    <row r="219" spans="1:13" ht="12.75">
      <c r="A219" s="74"/>
      <c r="B219" s="30"/>
      <c r="C219" s="30"/>
      <c r="D219" s="30"/>
      <c r="E219" s="30"/>
      <c r="M219" s="76"/>
    </row>
    <row r="220" spans="1:13" ht="12.75">
      <c r="A220" s="74"/>
      <c r="B220" s="30"/>
      <c r="C220" s="30"/>
      <c r="D220" s="30"/>
      <c r="E220" s="30"/>
      <c r="M220" s="76"/>
    </row>
    <row r="221" spans="1:13" ht="12.75">
      <c r="A221" s="74"/>
      <c r="B221" s="30"/>
      <c r="C221" s="30"/>
      <c r="D221" s="30"/>
      <c r="E221" s="30"/>
      <c r="M221" s="76"/>
    </row>
    <row r="222" spans="1:13" ht="12.75">
      <c r="A222" s="74"/>
      <c r="B222" s="30"/>
      <c r="C222" s="30"/>
      <c r="D222" s="30"/>
      <c r="E222" s="30"/>
      <c r="M222" s="76"/>
    </row>
    <row r="223" spans="1:13" ht="12.75">
      <c r="A223" s="74"/>
      <c r="B223" s="30"/>
      <c r="C223" s="30"/>
      <c r="D223" s="30"/>
      <c r="E223" s="30"/>
      <c r="M223" s="76"/>
    </row>
    <row r="224" spans="1:13" ht="12.75">
      <c r="A224" s="74"/>
      <c r="B224" s="30"/>
      <c r="C224" s="30"/>
      <c r="D224" s="30"/>
      <c r="E224" s="30"/>
      <c r="M224" s="76"/>
    </row>
    <row r="225" spans="1:13" ht="12.75">
      <c r="A225" s="74"/>
      <c r="B225" s="30"/>
      <c r="C225" s="30"/>
      <c r="D225" s="30"/>
      <c r="E225" s="30"/>
      <c r="M225" s="76"/>
    </row>
    <row r="226" spans="1:13" ht="12.75">
      <c r="A226" s="74"/>
      <c r="B226" s="30"/>
      <c r="C226" s="30"/>
      <c r="D226" s="30"/>
      <c r="E226" s="30"/>
      <c r="M226" s="76"/>
    </row>
    <row r="227" spans="1:13" ht="12.75">
      <c r="A227" s="74"/>
      <c r="B227" s="30"/>
      <c r="C227" s="30"/>
      <c r="D227" s="30"/>
      <c r="E227" s="30"/>
      <c r="M227" s="76"/>
    </row>
    <row r="228" spans="1:13" ht="12.75">
      <c r="A228" s="74"/>
      <c r="B228" s="30"/>
      <c r="C228" s="30"/>
      <c r="D228" s="30"/>
      <c r="E228" s="30"/>
      <c r="M228" s="76"/>
    </row>
    <row r="229" spans="1:13" ht="12.75">
      <c r="A229" s="74"/>
      <c r="B229" s="30"/>
      <c r="C229" s="30"/>
      <c r="D229" s="30"/>
      <c r="E229" s="30"/>
      <c r="M229" s="76"/>
    </row>
    <row r="230" spans="1:13" ht="12.75">
      <c r="A230" s="74"/>
      <c r="B230" s="30"/>
      <c r="C230" s="30"/>
      <c r="D230" s="30"/>
      <c r="E230" s="30"/>
      <c r="M230" s="76"/>
    </row>
    <row r="231" spans="1:13" ht="12.75">
      <c r="A231" s="74"/>
      <c r="B231" s="30"/>
      <c r="C231" s="30"/>
      <c r="D231" s="30"/>
      <c r="E231" s="30"/>
      <c r="M231" s="76"/>
    </row>
    <row r="232" spans="1:13" ht="12.75">
      <c r="A232" s="74"/>
      <c r="B232" s="30"/>
      <c r="C232" s="30"/>
      <c r="D232" s="30"/>
      <c r="E232" s="30"/>
      <c r="M232" s="76"/>
    </row>
    <row r="233" spans="1:13" ht="12.75">
      <c r="A233" s="74"/>
      <c r="B233" s="30"/>
      <c r="C233" s="30"/>
      <c r="D233" s="30"/>
      <c r="E233" s="30"/>
      <c r="M233" s="76"/>
    </row>
    <row r="234" spans="1:13" ht="12.75">
      <c r="A234" s="74"/>
      <c r="B234" s="30"/>
      <c r="C234" s="30"/>
      <c r="D234" s="30"/>
      <c r="E234" s="30"/>
      <c r="M234" s="76"/>
    </row>
    <row r="235" spans="1:13" ht="12.75">
      <c r="A235" s="74"/>
      <c r="B235" s="30"/>
      <c r="C235" s="30"/>
      <c r="D235" s="30"/>
      <c r="E235" s="30"/>
      <c r="M235" s="76"/>
    </row>
    <row r="236" spans="1:13" ht="12.75">
      <c r="A236" s="74"/>
      <c r="B236" s="30"/>
      <c r="C236" s="30"/>
      <c r="D236" s="30"/>
      <c r="E236" s="30"/>
      <c r="M236" s="76"/>
    </row>
    <row r="237" spans="1:13" ht="12.75">
      <c r="A237" s="74"/>
      <c r="B237" s="30"/>
      <c r="C237" s="30"/>
      <c r="D237" s="30"/>
      <c r="E237" s="30"/>
      <c r="M237" s="76"/>
    </row>
    <row r="238" spans="1:13" ht="12.75">
      <c r="A238" s="74"/>
      <c r="B238" s="30"/>
      <c r="C238" s="30"/>
      <c r="D238" s="30"/>
      <c r="E238" s="30"/>
      <c r="M238" s="76"/>
    </row>
    <row r="239" spans="1:13" ht="12.75">
      <c r="A239" s="74"/>
      <c r="B239" s="30"/>
      <c r="C239" s="30"/>
      <c r="D239" s="30"/>
      <c r="E239" s="30"/>
      <c r="M239" s="76"/>
    </row>
    <row r="240" spans="1:13" ht="12.75">
      <c r="A240" s="74"/>
      <c r="B240" s="30"/>
      <c r="C240" s="30"/>
      <c r="D240" s="30"/>
      <c r="E240" s="30"/>
      <c r="M240" s="76"/>
    </row>
    <row r="241" spans="1:13" ht="12.75">
      <c r="A241" s="74"/>
      <c r="B241" s="30"/>
      <c r="C241" s="30"/>
      <c r="D241" s="30"/>
      <c r="E241" s="30"/>
      <c r="M241" s="76"/>
    </row>
    <row r="242" spans="1:13" ht="12.75">
      <c r="A242" s="74"/>
      <c r="B242" s="30"/>
      <c r="C242" s="30"/>
      <c r="D242" s="30"/>
      <c r="E242" s="30"/>
      <c r="M242" s="76"/>
    </row>
    <row r="243" spans="1:13" ht="12.75">
      <c r="A243" s="74"/>
      <c r="B243" s="30"/>
      <c r="C243" s="30"/>
      <c r="D243" s="30"/>
      <c r="E243" s="30"/>
      <c r="M243" s="76"/>
    </row>
    <row r="244" spans="1:13" ht="12.75">
      <c r="A244" s="74"/>
      <c r="B244" s="30"/>
      <c r="C244" s="30"/>
      <c r="D244" s="30"/>
      <c r="E244" s="30"/>
      <c r="M244" s="76"/>
    </row>
    <row r="245" spans="1:13" ht="12.75">
      <c r="A245" s="74"/>
      <c r="B245" s="30"/>
      <c r="C245" s="30"/>
      <c r="D245" s="30"/>
      <c r="E245" s="30"/>
      <c r="M245" s="76"/>
    </row>
    <row r="246" spans="1:13" ht="12.75">
      <c r="A246" s="74"/>
      <c r="B246" s="30"/>
      <c r="C246" s="30"/>
      <c r="D246" s="30"/>
      <c r="E246" s="30"/>
      <c r="M246" s="76"/>
    </row>
    <row r="247" spans="1:13" ht="12.75">
      <c r="A247" s="74"/>
      <c r="B247" s="30"/>
      <c r="C247" s="30"/>
      <c r="D247" s="30"/>
      <c r="E247" s="30"/>
      <c r="M247" s="76"/>
    </row>
    <row r="248" spans="1:13" ht="12.75">
      <c r="A248" s="74"/>
      <c r="B248" s="30"/>
      <c r="C248" s="30"/>
      <c r="D248" s="30"/>
      <c r="E248" s="30"/>
      <c r="M248" s="76"/>
    </row>
    <row r="249" spans="1:13" ht="12.75">
      <c r="A249" s="74"/>
      <c r="B249" s="30"/>
      <c r="C249" s="30"/>
      <c r="D249" s="30"/>
      <c r="E249" s="30"/>
      <c r="M249" s="76"/>
    </row>
    <row r="250" spans="1:13" ht="12.75">
      <c r="A250" s="74"/>
      <c r="B250" s="30"/>
      <c r="C250" s="30"/>
      <c r="D250" s="30"/>
      <c r="E250" s="30"/>
      <c r="M250" s="76"/>
    </row>
    <row r="251" spans="1:13" ht="12.75">
      <c r="A251" s="74"/>
      <c r="B251" s="30"/>
      <c r="C251" s="30"/>
      <c r="D251" s="30"/>
      <c r="E251" s="30"/>
      <c r="M251" s="76"/>
    </row>
    <row r="252" spans="1:13" ht="12.75">
      <c r="A252" s="74"/>
      <c r="B252" s="30"/>
      <c r="C252" s="30"/>
      <c r="D252" s="30"/>
      <c r="E252" s="30"/>
      <c r="M252" s="76"/>
    </row>
    <row r="253" spans="1:13" ht="12.75">
      <c r="A253" s="74"/>
      <c r="B253" s="30"/>
      <c r="C253" s="30"/>
      <c r="D253" s="30"/>
      <c r="E253" s="30"/>
      <c r="M253" s="76"/>
    </row>
    <row r="254" spans="1:13" ht="12.75">
      <c r="A254" s="74"/>
      <c r="B254" s="30"/>
      <c r="C254" s="30"/>
      <c r="D254" s="30"/>
      <c r="E254" s="30"/>
      <c r="M254" s="76"/>
    </row>
    <row r="255" spans="1:13" ht="12.75">
      <c r="A255" s="74"/>
      <c r="B255" s="30"/>
      <c r="C255" s="30"/>
      <c r="D255" s="30"/>
      <c r="E255" s="30"/>
      <c r="M255" s="76"/>
    </row>
    <row r="256" spans="1:13" ht="12.75">
      <c r="A256" s="74"/>
      <c r="B256" s="30"/>
      <c r="C256" s="30"/>
      <c r="D256" s="30"/>
      <c r="E256" s="30"/>
      <c r="M256" s="76"/>
    </row>
    <row r="257" spans="1:13" ht="12.75">
      <c r="A257" s="74"/>
      <c r="B257" s="30"/>
      <c r="C257" s="30"/>
      <c r="D257" s="30"/>
      <c r="E257" s="30"/>
      <c r="M257" s="76"/>
    </row>
    <row r="258" spans="1:13" ht="12.75">
      <c r="A258" s="74"/>
      <c r="B258" s="30"/>
      <c r="C258" s="30"/>
      <c r="D258" s="30"/>
      <c r="E258" s="30"/>
      <c r="M258" s="76"/>
    </row>
    <row r="259" spans="1:13" ht="12.75">
      <c r="A259" s="74"/>
      <c r="B259" s="30"/>
      <c r="C259" s="30"/>
      <c r="D259" s="30"/>
      <c r="E259" s="30"/>
      <c r="M259" s="76"/>
    </row>
    <row r="260" spans="1:13" ht="12.75">
      <c r="A260" s="74"/>
      <c r="B260" s="30"/>
      <c r="C260" s="30"/>
      <c r="D260" s="30"/>
      <c r="E260" s="30"/>
      <c r="M260" s="76"/>
    </row>
    <row r="261" spans="1:13" ht="12.75">
      <c r="A261" s="74"/>
      <c r="B261" s="30"/>
      <c r="C261" s="30"/>
      <c r="D261" s="30"/>
      <c r="E261" s="30"/>
      <c r="M261" s="76"/>
    </row>
    <row r="262" spans="1:13" ht="12.75">
      <c r="A262" s="74"/>
      <c r="B262" s="30"/>
      <c r="C262" s="30"/>
      <c r="D262" s="30"/>
      <c r="E262" s="30"/>
      <c r="M262" s="76"/>
    </row>
    <row r="263" spans="1:13" ht="12.75">
      <c r="A263" s="74"/>
      <c r="B263" s="30"/>
      <c r="C263" s="30"/>
      <c r="D263" s="30"/>
      <c r="E263" s="30"/>
      <c r="M263" s="76"/>
    </row>
    <row r="264" spans="1:13" ht="12.75">
      <c r="A264" s="74"/>
      <c r="B264" s="30"/>
      <c r="C264" s="30"/>
      <c r="D264" s="30"/>
      <c r="E264" s="30"/>
      <c r="M264" s="76"/>
    </row>
    <row r="265" spans="1:13" ht="12.75">
      <c r="A265" s="74"/>
      <c r="B265" s="30"/>
      <c r="C265" s="30"/>
      <c r="D265" s="30"/>
      <c r="E265" s="30"/>
      <c r="M265" s="76"/>
    </row>
    <row r="266" spans="1:13" ht="12.75">
      <c r="A266" s="74"/>
      <c r="B266" s="30"/>
      <c r="C266" s="30"/>
      <c r="D266" s="30"/>
      <c r="E266" s="30"/>
      <c r="M266" s="76"/>
    </row>
    <row r="267" spans="1:13" ht="12.75">
      <c r="A267" s="74"/>
      <c r="B267" s="30"/>
      <c r="C267" s="30"/>
      <c r="D267" s="30"/>
      <c r="E267" s="30"/>
      <c r="M267" s="76"/>
    </row>
    <row r="268" spans="1:13" ht="12.75">
      <c r="A268" s="74"/>
      <c r="B268" s="30"/>
      <c r="C268" s="30"/>
      <c r="D268" s="30"/>
      <c r="E268" s="30"/>
      <c r="M268" s="76"/>
    </row>
    <row r="269" spans="1:13" ht="12.75">
      <c r="A269" s="74"/>
      <c r="B269" s="30"/>
      <c r="C269" s="30"/>
      <c r="D269" s="30"/>
      <c r="E269" s="30"/>
      <c r="M269" s="76"/>
    </row>
    <row r="270" spans="1:13" ht="12.75">
      <c r="A270" s="74"/>
      <c r="B270" s="30"/>
      <c r="C270" s="30"/>
      <c r="D270" s="30"/>
      <c r="E270" s="30"/>
      <c r="M270" s="76"/>
    </row>
    <row r="271" spans="1:13" ht="12.75">
      <c r="A271" s="74"/>
      <c r="B271" s="30"/>
      <c r="C271" s="30"/>
      <c r="D271" s="30"/>
      <c r="E271" s="30"/>
      <c r="M271" s="76"/>
    </row>
    <row r="272" spans="1:13" ht="12.75">
      <c r="A272" s="74"/>
      <c r="B272" s="30"/>
      <c r="C272" s="30"/>
      <c r="D272" s="30"/>
      <c r="E272" s="30"/>
      <c r="M272" s="76"/>
    </row>
    <row r="273" spans="1:13" ht="12.75">
      <c r="A273" s="74"/>
      <c r="B273" s="30"/>
      <c r="C273" s="30"/>
      <c r="D273" s="30"/>
      <c r="E273" s="30"/>
      <c r="M273" s="76"/>
    </row>
    <row r="274" spans="1:13" ht="12.75">
      <c r="A274" s="74"/>
      <c r="B274" s="30"/>
      <c r="C274" s="30"/>
      <c r="D274" s="30"/>
      <c r="E274" s="30"/>
      <c r="M274" s="76"/>
    </row>
    <row r="275" spans="1:13" ht="12.75">
      <c r="A275" s="74"/>
      <c r="B275" s="30"/>
      <c r="C275" s="30"/>
      <c r="D275" s="30"/>
      <c r="E275" s="30"/>
      <c r="M275" s="76"/>
    </row>
    <row r="276" spans="1:13" ht="12.75">
      <c r="A276" s="74"/>
      <c r="B276" s="30"/>
      <c r="C276" s="30"/>
      <c r="D276" s="30"/>
      <c r="E276" s="30"/>
      <c r="M276" s="76"/>
    </row>
    <row r="277" spans="1:13" ht="12.75">
      <c r="A277" s="74"/>
      <c r="B277" s="30"/>
      <c r="C277" s="30"/>
      <c r="D277" s="30"/>
      <c r="E277" s="30"/>
      <c r="M277" s="76"/>
    </row>
    <row r="278" spans="1:13" ht="12.75">
      <c r="A278" s="74"/>
      <c r="B278" s="30"/>
      <c r="C278" s="30"/>
      <c r="D278" s="30"/>
      <c r="E278" s="30"/>
      <c r="M278" s="76"/>
    </row>
    <row r="279" spans="1:13" ht="12.75">
      <c r="A279" s="74"/>
      <c r="B279" s="30"/>
      <c r="C279" s="30"/>
      <c r="D279" s="30"/>
      <c r="E279" s="30"/>
      <c r="M279" s="76"/>
    </row>
    <row r="280" spans="1:13" ht="12.75">
      <c r="A280" s="74"/>
      <c r="B280" s="30"/>
      <c r="C280" s="30"/>
      <c r="D280" s="30"/>
      <c r="E280" s="30"/>
      <c r="M280" s="76"/>
    </row>
    <row r="281" spans="1:13" ht="12.75">
      <c r="A281" s="74"/>
      <c r="B281" s="30"/>
      <c r="C281" s="30"/>
      <c r="D281" s="30"/>
      <c r="E281" s="30"/>
      <c r="M281" s="76"/>
    </row>
    <row r="282" spans="1:13" ht="12.75">
      <c r="A282" s="74"/>
      <c r="B282" s="30"/>
      <c r="C282" s="30"/>
      <c r="D282" s="30"/>
      <c r="E282" s="30"/>
      <c r="M282" s="76"/>
    </row>
    <row r="283" spans="1:13" ht="12.75">
      <c r="A283" s="74"/>
      <c r="B283" s="30"/>
      <c r="C283" s="30"/>
      <c r="D283" s="30"/>
      <c r="E283" s="30"/>
      <c r="M283" s="76"/>
    </row>
    <row r="284" spans="1:13" ht="12.75">
      <c r="A284" s="74"/>
      <c r="B284" s="30"/>
      <c r="C284" s="30"/>
      <c r="D284" s="30"/>
      <c r="E284" s="30"/>
      <c r="M284" s="76"/>
    </row>
    <row r="285" spans="1:13" ht="12.75">
      <c r="A285" s="74"/>
      <c r="B285" s="30"/>
      <c r="C285" s="30"/>
      <c r="D285" s="30"/>
      <c r="E285" s="30"/>
      <c r="M285" s="76"/>
    </row>
    <row r="286" spans="1:13" ht="12.75">
      <c r="A286" s="74"/>
      <c r="B286" s="30"/>
      <c r="C286" s="30"/>
      <c r="D286" s="30"/>
      <c r="E286" s="30"/>
      <c r="M286" s="76"/>
    </row>
    <row r="287" spans="1:13" ht="12.75">
      <c r="A287" s="74"/>
      <c r="B287" s="30"/>
      <c r="C287" s="30"/>
      <c r="D287" s="30"/>
      <c r="E287" s="30"/>
      <c r="M287" s="76"/>
    </row>
    <row r="288" spans="1:13" ht="12.75">
      <c r="A288" s="74"/>
      <c r="B288" s="30"/>
      <c r="C288" s="30"/>
      <c r="D288" s="30"/>
      <c r="E288" s="30"/>
      <c r="M288" s="76"/>
    </row>
    <row r="289" spans="1:13" ht="12.75">
      <c r="A289" s="74"/>
      <c r="B289" s="30"/>
      <c r="C289" s="30"/>
      <c r="D289" s="30"/>
      <c r="E289" s="30"/>
      <c r="M289" s="76"/>
    </row>
    <row r="290" spans="1:13" ht="12.75">
      <c r="A290" s="74"/>
      <c r="B290" s="30"/>
      <c r="C290" s="30"/>
      <c r="D290" s="30"/>
      <c r="E290" s="30"/>
      <c r="M290" s="76"/>
    </row>
    <row r="291" spans="1:13" ht="12.75">
      <c r="A291" s="74"/>
      <c r="B291" s="30"/>
      <c r="C291" s="30"/>
      <c r="D291" s="30"/>
      <c r="E291" s="30"/>
      <c r="M291" s="76"/>
    </row>
    <row r="292" spans="1:13" ht="12.75">
      <c r="A292" s="74"/>
      <c r="B292" s="30"/>
      <c r="C292" s="30"/>
      <c r="D292" s="30"/>
      <c r="E292" s="30"/>
      <c r="M292" s="76"/>
    </row>
    <row r="293" spans="1:13" ht="12.75">
      <c r="A293" s="74"/>
      <c r="B293" s="30"/>
      <c r="C293" s="30"/>
      <c r="D293" s="30"/>
      <c r="E293" s="30"/>
      <c r="M293" s="76"/>
    </row>
    <row r="294" spans="1:13" ht="12.75">
      <c r="A294" s="74"/>
      <c r="B294" s="30"/>
      <c r="C294" s="30"/>
      <c r="D294" s="30"/>
      <c r="E294" s="30"/>
      <c r="M294" s="76"/>
    </row>
    <row r="295" spans="1:13" ht="12.75">
      <c r="A295" s="74"/>
      <c r="B295" s="30"/>
      <c r="C295" s="30"/>
      <c r="D295" s="30"/>
      <c r="E295" s="30"/>
      <c r="M295" s="76"/>
    </row>
    <row r="296" spans="1:13" ht="12.75">
      <c r="A296" s="74"/>
      <c r="B296" s="30"/>
      <c r="C296" s="30"/>
      <c r="D296" s="30"/>
      <c r="E296" s="30"/>
      <c r="M296" s="76"/>
    </row>
    <row r="297" spans="1:13" ht="12.75">
      <c r="A297" s="74"/>
      <c r="B297" s="30"/>
      <c r="C297" s="30"/>
      <c r="D297" s="30"/>
      <c r="E297" s="30"/>
      <c r="M297" s="76"/>
    </row>
    <row r="298" spans="1:13" ht="12.75">
      <c r="A298" s="74"/>
      <c r="B298" s="30"/>
      <c r="C298" s="30"/>
      <c r="D298" s="30"/>
      <c r="E298" s="30"/>
      <c r="M298" s="76"/>
    </row>
    <row r="299" spans="1:13" ht="12.75">
      <c r="A299" s="74"/>
      <c r="B299" s="30"/>
      <c r="C299" s="30"/>
      <c r="D299" s="30"/>
      <c r="E299" s="30"/>
      <c r="M299" s="76"/>
    </row>
    <row r="300" spans="1:13" ht="12.75">
      <c r="A300" s="74"/>
      <c r="B300" s="30"/>
      <c r="C300" s="30"/>
      <c r="D300" s="30"/>
      <c r="E300" s="30"/>
      <c r="M300" s="76"/>
    </row>
    <row r="301" spans="1:13" ht="12.75">
      <c r="A301" s="74"/>
      <c r="B301" s="30"/>
      <c r="C301" s="30"/>
      <c r="D301" s="30"/>
      <c r="E301" s="30"/>
      <c r="M301" s="76"/>
    </row>
    <row r="302" spans="1:13" ht="12.75">
      <c r="A302" s="74"/>
      <c r="B302" s="30"/>
      <c r="C302" s="30"/>
      <c r="D302" s="30"/>
      <c r="E302" s="30"/>
      <c r="M302" s="76"/>
    </row>
    <row r="303" spans="1:13" ht="12.75">
      <c r="A303" s="74"/>
      <c r="B303" s="30"/>
      <c r="C303" s="30"/>
      <c r="D303" s="30"/>
      <c r="E303" s="30"/>
      <c r="M303" s="76"/>
    </row>
    <row r="304" spans="1:13" ht="12.75">
      <c r="A304" s="74"/>
      <c r="B304" s="30"/>
      <c r="C304" s="30"/>
      <c r="D304" s="30"/>
      <c r="E304" s="30"/>
      <c r="M304" s="76"/>
    </row>
    <row r="305" spans="1:13" ht="12.75">
      <c r="A305" s="74"/>
      <c r="B305" s="30"/>
      <c r="C305" s="30"/>
      <c r="D305" s="30"/>
      <c r="E305" s="30"/>
      <c r="M305" s="76"/>
    </row>
    <row r="306" spans="1:13" ht="12.75">
      <c r="A306" s="74"/>
      <c r="B306" s="30"/>
      <c r="C306" s="30"/>
      <c r="D306" s="30"/>
      <c r="E306" s="30"/>
      <c r="M306" s="76"/>
    </row>
    <row r="307" spans="1:13" ht="12.75">
      <c r="A307" s="74"/>
      <c r="B307" s="30"/>
      <c r="C307" s="30"/>
      <c r="D307" s="30"/>
      <c r="E307" s="30"/>
      <c r="M307" s="76"/>
    </row>
    <row r="308" spans="1:13" ht="12.75">
      <c r="A308" s="74"/>
      <c r="B308" s="30"/>
      <c r="C308" s="30"/>
      <c r="D308" s="30"/>
      <c r="E308" s="30"/>
      <c r="M308" s="76"/>
    </row>
    <row r="309" spans="1:13" ht="12.75">
      <c r="A309" s="74"/>
      <c r="B309" s="30"/>
      <c r="C309" s="30"/>
      <c r="D309" s="30"/>
      <c r="E309" s="30"/>
      <c r="M309" s="76"/>
    </row>
    <row r="310" spans="1:13" ht="12.75">
      <c r="A310" s="74"/>
      <c r="B310" s="30"/>
      <c r="C310" s="30"/>
      <c r="D310" s="30"/>
      <c r="E310" s="30"/>
      <c r="M310" s="76"/>
    </row>
    <row r="311" spans="1:13" ht="12.75">
      <c r="A311" s="74"/>
      <c r="B311" s="30"/>
      <c r="C311" s="30"/>
      <c r="D311" s="30"/>
      <c r="E311" s="30"/>
      <c r="M311" s="76"/>
    </row>
    <row r="312" spans="1:13" ht="12.75">
      <c r="A312" s="74"/>
      <c r="B312" s="30"/>
      <c r="C312" s="30"/>
      <c r="D312" s="30"/>
      <c r="E312" s="30"/>
      <c r="M312" s="76"/>
    </row>
    <row r="313" spans="1:13" ht="12.75">
      <c r="A313" s="74"/>
      <c r="B313" s="30"/>
      <c r="C313" s="30"/>
      <c r="D313" s="30"/>
      <c r="E313" s="30"/>
      <c r="M313" s="76"/>
    </row>
    <row r="314" spans="1:13" ht="12.75">
      <c r="A314" s="74"/>
      <c r="B314" s="30"/>
      <c r="C314" s="30"/>
      <c r="D314" s="30"/>
      <c r="E314" s="30"/>
      <c r="M314" s="76"/>
    </row>
    <row r="315" spans="1:13" ht="12.75">
      <c r="A315" s="74"/>
      <c r="B315" s="30"/>
      <c r="C315" s="30"/>
      <c r="D315" s="30"/>
      <c r="E315" s="30"/>
      <c r="M315" s="76"/>
    </row>
    <row r="316" spans="1:13" ht="12.75">
      <c r="A316" s="74"/>
      <c r="B316" s="30"/>
      <c r="C316" s="30"/>
      <c r="D316" s="30"/>
      <c r="E316" s="30"/>
      <c r="M316" s="76"/>
    </row>
    <row r="317" spans="1:13" ht="12.75">
      <c r="A317" s="74"/>
      <c r="B317" s="30"/>
      <c r="C317" s="30"/>
      <c r="D317" s="30"/>
      <c r="E317" s="30"/>
      <c r="M317" s="76"/>
    </row>
    <row r="318" spans="1:13" ht="12.75">
      <c r="A318" s="74"/>
      <c r="B318" s="30"/>
      <c r="C318" s="30"/>
      <c r="D318" s="30"/>
      <c r="E318" s="30"/>
      <c r="M318" s="76"/>
    </row>
    <row r="319" spans="1:13" ht="12.75">
      <c r="A319" s="74"/>
      <c r="B319" s="30"/>
      <c r="C319" s="30"/>
      <c r="D319" s="30"/>
      <c r="E319" s="30"/>
      <c r="M319" s="76"/>
    </row>
    <row r="320" spans="1:13" ht="12.75">
      <c r="A320" s="74"/>
      <c r="B320" s="30"/>
      <c r="C320" s="30"/>
      <c r="D320" s="30"/>
      <c r="E320" s="30"/>
      <c r="M320" s="76"/>
    </row>
    <row r="321" spans="1:13" ht="12.75">
      <c r="A321" s="74"/>
      <c r="B321" s="30"/>
      <c r="C321" s="30"/>
      <c r="D321" s="30"/>
      <c r="E321" s="30"/>
      <c r="M321" s="76"/>
    </row>
    <row r="322" spans="1:13" ht="12.75">
      <c r="A322" s="74"/>
      <c r="B322" s="30"/>
      <c r="C322" s="30"/>
      <c r="D322" s="30"/>
      <c r="E322" s="30"/>
      <c r="M322" s="76"/>
    </row>
    <row r="323" spans="1:13" ht="12.75">
      <c r="A323" s="74"/>
      <c r="B323" s="30"/>
      <c r="C323" s="30"/>
      <c r="D323" s="30"/>
      <c r="E323" s="30"/>
      <c r="M323" s="76"/>
    </row>
    <row r="324" spans="1:13" ht="12.75">
      <c r="A324" s="74"/>
      <c r="B324" s="30"/>
      <c r="C324" s="30"/>
      <c r="D324" s="30"/>
      <c r="E324" s="30"/>
      <c r="M324" s="76"/>
    </row>
    <row r="325" spans="1:13" ht="12.75">
      <c r="A325" s="74"/>
      <c r="B325" s="30"/>
      <c r="C325" s="30"/>
      <c r="D325" s="30"/>
      <c r="E325" s="30"/>
      <c r="M325" s="76"/>
    </row>
    <row r="326" spans="1:13" ht="12.75">
      <c r="A326" s="74"/>
      <c r="B326" s="30"/>
      <c r="C326" s="30"/>
      <c r="D326" s="30"/>
      <c r="E326" s="30"/>
      <c r="M326" s="76"/>
    </row>
    <row r="327" spans="1:13" ht="12.75">
      <c r="A327" s="74"/>
      <c r="B327" s="30"/>
      <c r="C327" s="30"/>
      <c r="D327" s="30"/>
      <c r="E327" s="30"/>
      <c r="M327" s="76"/>
    </row>
    <row r="328" spans="1:13" ht="12.75">
      <c r="A328" s="74"/>
      <c r="B328" s="30"/>
      <c r="C328" s="30"/>
      <c r="D328" s="30"/>
      <c r="E328" s="30"/>
      <c r="M328" s="76"/>
    </row>
    <row r="329" spans="1:13" ht="12.75">
      <c r="A329" s="74"/>
      <c r="B329" s="30"/>
      <c r="C329" s="30"/>
      <c r="D329" s="30"/>
      <c r="E329" s="30"/>
      <c r="M329" s="76"/>
    </row>
    <row r="330" spans="1:13" ht="12.75">
      <c r="A330" s="74"/>
      <c r="B330" s="30"/>
      <c r="C330" s="30"/>
      <c r="D330" s="30"/>
      <c r="E330" s="30"/>
      <c r="M330" s="76"/>
    </row>
    <row r="331" spans="1:13" ht="12.75">
      <c r="A331" s="74"/>
      <c r="B331" s="30"/>
      <c r="C331" s="30"/>
      <c r="D331" s="30"/>
      <c r="E331" s="30"/>
      <c r="M331" s="76"/>
    </row>
    <row r="332" spans="1:13" ht="12.75">
      <c r="A332" s="74"/>
      <c r="B332" s="30"/>
      <c r="C332" s="30"/>
      <c r="D332" s="30"/>
      <c r="E332" s="30"/>
      <c r="M332" s="76"/>
    </row>
    <row r="333" spans="1:13" ht="12.75">
      <c r="A333" s="74"/>
      <c r="B333" s="30"/>
      <c r="C333" s="30"/>
      <c r="D333" s="30"/>
      <c r="E333" s="30"/>
      <c r="M333" s="76"/>
    </row>
    <row r="334" spans="1:13" ht="12.75">
      <c r="A334" s="74"/>
      <c r="B334" s="30"/>
      <c r="C334" s="30"/>
      <c r="D334" s="30"/>
      <c r="E334" s="30"/>
      <c r="M334" s="76"/>
    </row>
    <row r="335" spans="1:13" ht="12.75">
      <c r="A335" s="74"/>
      <c r="B335" s="30"/>
      <c r="C335" s="30"/>
      <c r="D335" s="30"/>
      <c r="E335" s="30"/>
      <c r="M335" s="76"/>
    </row>
    <row r="336" spans="1:13" ht="12.75">
      <c r="A336" s="74"/>
      <c r="B336" s="30"/>
      <c r="C336" s="30"/>
      <c r="D336" s="30"/>
      <c r="E336" s="30"/>
      <c r="M336" s="76"/>
    </row>
    <row r="337" spans="1:13" ht="12.75">
      <c r="A337" s="74"/>
      <c r="B337" s="30"/>
      <c r="C337" s="30"/>
      <c r="D337" s="30"/>
      <c r="E337" s="30"/>
      <c r="M337" s="76"/>
    </row>
    <row r="338" spans="1:13" ht="12.75">
      <c r="A338" s="74"/>
      <c r="B338" s="30"/>
      <c r="C338" s="30"/>
      <c r="D338" s="30"/>
      <c r="E338" s="30"/>
      <c r="M338" s="76"/>
    </row>
    <row r="339" spans="1:13" ht="12.75">
      <c r="A339" s="74"/>
      <c r="B339" s="30"/>
      <c r="C339" s="30"/>
      <c r="D339" s="30"/>
      <c r="E339" s="30"/>
      <c r="M339" s="76"/>
    </row>
    <row r="340" spans="1:13" ht="12.75">
      <c r="A340" s="74"/>
      <c r="B340" s="30"/>
      <c r="C340" s="30"/>
      <c r="D340" s="30"/>
      <c r="E340" s="30"/>
      <c r="M340" s="76"/>
    </row>
    <row r="341" spans="1:13" ht="12.75">
      <c r="A341" s="74"/>
      <c r="B341" s="30"/>
      <c r="C341" s="30"/>
      <c r="D341" s="30"/>
      <c r="E341" s="30"/>
      <c r="M341" s="76"/>
    </row>
    <row r="342" spans="1:13" ht="12.75">
      <c r="A342" s="74"/>
      <c r="B342" s="30"/>
      <c r="C342" s="30"/>
      <c r="D342" s="30"/>
      <c r="E342" s="30"/>
      <c r="M342" s="76"/>
    </row>
    <row r="343" spans="1:13" ht="12.75">
      <c r="A343" s="74"/>
      <c r="B343" s="30"/>
      <c r="C343" s="30"/>
      <c r="D343" s="30"/>
      <c r="E343" s="30"/>
      <c r="M343" s="76"/>
    </row>
    <row r="344" spans="1:13" ht="12.75">
      <c r="A344" s="74"/>
      <c r="B344" s="30"/>
      <c r="C344" s="30"/>
      <c r="D344" s="30"/>
      <c r="E344" s="30"/>
      <c r="M344" s="76"/>
    </row>
    <row r="345" spans="1:13" ht="12.75">
      <c r="A345" s="74"/>
      <c r="B345" s="30"/>
      <c r="C345" s="30"/>
      <c r="D345" s="30"/>
      <c r="E345" s="30"/>
      <c r="M345" s="76"/>
    </row>
    <row r="346" spans="1:13" ht="12.75">
      <c r="A346" s="74"/>
      <c r="B346" s="30"/>
      <c r="C346" s="30"/>
      <c r="D346" s="30"/>
      <c r="E346" s="30"/>
      <c r="M346" s="76"/>
    </row>
    <row r="347" spans="1:13" ht="12.75">
      <c r="A347" s="74"/>
      <c r="B347" s="30"/>
      <c r="C347" s="30"/>
      <c r="D347" s="30"/>
      <c r="E347" s="30"/>
      <c r="M347" s="76"/>
    </row>
    <row r="348" spans="1:13" ht="12.75">
      <c r="A348" s="74"/>
      <c r="B348" s="30"/>
      <c r="C348" s="30"/>
      <c r="D348" s="30"/>
      <c r="E348" s="30"/>
      <c r="M348" s="76"/>
    </row>
    <row r="349" spans="1:13" ht="12.75">
      <c r="A349" s="74"/>
      <c r="B349" s="30"/>
      <c r="C349" s="30"/>
      <c r="D349" s="30"/>
      <c r="E349" s="30"/>
      <c r="M349" s="76"/>
    </row>
    <row r="350" spans="1:13" ht="12.75">
      <c r="A350" s="74"/>
      <c r="B350" s="30"/>
      <c r="C350" s="30"/>
      <c r="D350" s="30"/>
      <c r="E350" s="30"/>
      <c r="M350" s="76"/>
    </row>
    <row r="351" spans="1:13" ht="12.75">
      <c r="A351" s="74"/>
      <c r="B351" s="30"/>
      <c r="C351" s="30"/>
      <c r="D351" s="30"/>
      <c r="E351" s="30"/>
      <c r="M351" s="76"/>
    </row>
    <row r="352" spans="1:13" ht="12.75">
      <c r="A352" s="74"/>
      <c r="B352" s="30"/>
      <c r="C352" s="30"/>
      <c r="D352" s="30"/>
      <c r="E352" s="30"/>
      <c r="M352" s="76"/>
    </row>
    <row r="353" spans="1:13" ht="12.75">
      <c r="A353" s="74"/>
      <c r="B353" s="30"/>
      <c r="C353" s="30"/>
      <c r="D353" s="30"/>
      <c r="E353" s="30"/>
      <c r="M353" s="76"/>
    </row>
    <row r="354" spans="1:13" ht="12.75">
      <c r="A354" s="74"/>
      <c r="B354" s="30"/>
      <c r="C354" s="30"/>
      <c r="D354" s="30"/>
      <c r="E354" s="30"/>
      <c r="M354" s="76"/>
    </row>
    <row r="355" spans="1:13" ht="12.75">
      <c r="A355" s="74"/>
      <c r="B355" s="30"/>
      <c r="C355" s="30"/>
      <c r="D355" s="30"/>
      <c r="E355" s="30"/>
      <c r="M355" s="76"/>
    </row>
    <row r="356" spans="1:13" ht="12.75">
      <c r="A356" s="74"/>
      <c r="B356" s="30"/>
      <c r="C356" s="30"/>
      <c r="D356" s="30"/>
      <c r="E356" s="30"/>
      <c r="M356" s="76"/>
    </row>
    <row r="357" spans="1:13" ht="12.75">
      <c r="A357" s="74"/>
      <c r="B357" s="30"/>
      <c r="C357" s="30"/>
      <c r="D357" s="30"/>
      <c r="E357" s="30"/>
      <c r="M357" s="76"/>
    </row>
    <row r="358" spans="1:13" ht="12.75">
      <c r="A358" s="74"/>
      <c r="B358" s="30"/>
      <c r="C358" s="30"/>
      <c r="D358" s="30"/>
      <c r="E358" s="30"/>
      <c r="M358" s="76"/>
    </row>
    <row r="359" spans="1:13" ht="12.75">
      <c r="A359" s="74"/>
      <c r="B359" s="30"/>
      <c r="C359" s="30"/>
      <c r="D359" s="30"/>
      <c r="E359" s="30"/>
      <c r="M359" s="76"/>
    </row>
    <row r="360" spans="1:13" ht="12.75">
      <c r="A360" s="74"/>
      <c r="B360" s="30"/>
      <c r="C360" s="30"/>
      <c r="D360" s="30"/>
      <c r="E360" s="30"/>
      <c r="M360" s="76"/>
    </row>
    <row r="361" spans="1:13" ht="12.75">
      <c r="A361" s="74"/>
      <c r="B361" s="30"/>
      <c r="C361" s="30"/>
      <c r="D361" s="30"/>
      <c r="E361" s="30"/>
      <c r="M361" s="76"/>
    </row>
    <row r="362" spans="1:13" ht="12.75">
      <c r="A362" s="74"/>
      <c r="B362" s="30"/>
      <c r="C362" s="30"/>
      <c r="D362" s="30"/>
      <c r="E362" s="30"/>
      <c r="M362" s="76"/>
    </row>
    <row r="363" spans="1:13" ht="12.75">
      <c r="A363" s="74"/>
      <c r="B363" s="30"/>
      <c r="C363" s="30"/>
      <c r="D363" s="30"/>
      <c r="E363" s="30"/>
      <c r="M363" s="76"/>
    </row>
    <row r="364" spans="1:13" ht="12.75">
      <c r="A364" s="74"/>
      <c r="B364" s="30"/>
      <c r="C364" s="30"/>
      <c r="D364" s="30"/>
      <c r="E364" s="30"/>
      <c r="M364" s="76"/>
    </row>
    <row r="365" spans="1:13" ht="12.75">
      <c r="A365" s="74"/>
      <c r="B365" s="30"/>
      <c r="C365" s="30"/>
      <c r="D365" s="30"/>
      <c r="E365" s="30"/>
      <c r="M365" s="76"/>
    </row>
    <row r="366" spans="1:13" ht="12.75">
      <c r="A366" s="74"/>
      <c r="B366" s="30"/>
      <c r="C366" s="30"/>
      <c r="D366" s="30"/>
      <c r="E366" s="30"/>
      <c r="M366" s="76"/>
    </row>
    <row r="367" spans="1:13" ht="12.75">
      <c r="A367" s="74"/>
      <c r="B367" s="30"/>
      <c r="C367" s="30"/>
      <c r="D367" s="30"/>
      <c r="E367" s="30"/>
      <c r="M367" s="76"/>
    </row>
    <row r="368" spans="1:13" ht="12.75">
      <c r="A368" s="74"/>
      <c r="B368" s="30"/>
      <c r="C368" s="30"/>
      <c r="D368" s="30"/>
      <c r="E368" s="30"/>
      <c r="M368" s="76"/>
    </row>
    <row r="369" spans="1:13" ht="12.75">
      <c r="A369" s="74"/>
      <c r="B369" s="30"/>
      <c r="C369" s="30"/>
      <c r="D369" s="30"/>
      <c r="E369" s="30"/>
      <c r="M369" s="76"/>
    </row>
    <row r="370" spans="1:13" ht="12.75">
      <c r="A370" s="74"/>
      <c r="B370" s="30"/>
      <c r="C370" s="30"/>
      <c r="D370" s="30"/>
      <c r="E370" s="30"/>
      <c r="M370" s="76"/>
    </row>
    <row r="371" spans="1:13" ht="12.75">
      <c r="A371" s="74"/>
      <c r="B371" s="30"/>
      <c r="C371" s="30"/>
      <c r="D371" s="30"/>
      <c r="E371" s="30"/>
      <c r="M371" s="76"/>
    </row>
    <row r="372" spans="1:13" ht="12.75">
      <c r="A372" s="74"/>
      <c r="B372" s="30"/>
      <c r="C372" s="30"/>
      <c r="D372" s="30"/>
      <c r="E372" s="30"/>
      <c r="M372" s="76"/>
    </row>
    <row r="373" spans="1:13" ht="12.75">
      <c r="A373" s="74"/>
      <c r="B373" s="30"/>
      <c r="C373" s="30"/>
      <c r="D373" s="30"/>
      <c r="E373" s="30"/>
      <c r="M373" s="76"/>
    </row>
    <row r="374" spans="1:13" ht="12.75">
      <c r="A374" s="74"/>
      <c r="B374" s="30"/>
      <c r="C374" s="30"/>
      <c r="D374" s="30"/>
      <c r="E374" s="30"/>
      <c r="M374" s="76"/>
    </row>
    <row r="375" spans="1:13" ht="12.75">
      <c r="A375" s="74"/>
      <c r="B375" s="30"/>
      <c r="C375" s="30"/>
      <c r="D375" s="30"/>
      <c r="E375" s="30"/>
      <c r="M375" s="76"/>
    </row>
    <row r="376" spans="1:13" ht="12.75">
      <c r="A376" s="74"/>
      <c r="B376" s="30"/>
      <c r="C376" s="30"/>
      <c r="D376" s="30"/>
      <c r="E376" s="30"/>
      <c r="M376" s="76"/>
    </row>
    <row r="377" spans="1:13" ht="12.75">
      <c r="A377" s="74"/>
      <c r="B377" s="30"/>
      <c r="C377" s="30"/>
      <c r="D377" s="30"/>
      <c r="E377" s="30"/>
      <c r="M377" s="76"/>
    </row>
    <row r="378" spans="1:13" ht="12.75">
      <c r="A378" s="74"/>
      <c r="B378" s="30"/>
      <c r="C378" s="30"/>
      <c r="D378" s="30"/>
      <c r="E378" s="30"/>
      <c r="M378" s="76"/>
    </row>
    <row r="379" spans="1:13" ht="12.75">
      <c r="A379" s="74"/>
      <c r="B379" s="30"/>
      <c r="C379" s="30"/>
      <c r="D379" s="30"/>
      <c r="E379" s="30"/>
      <c r="M379" s="76"/>
    </row>
    <row r="380" spans="1:13" ht="12.75">
      <c r="A380" s="74"/>
      <c r="B380" s="30"/>
      <c r="C380" s="30"/>
      <c r="D380" s="30"/>
      <c r="E380" s="30"/>
      <c r="M380" s="76"/>
    </row>
    <row r="381" spans="1:13" ht="12.75">
      <c r="A381" s="74"/>
      <c r="B381" s="30"/>
      <c r="C381" s="30"/>
      <c r="D381" s="30"/>
      <c r="E381" s="30"/>
      <c r="M381" s="76"/>
    </row>
    <row r="382" spans="1:13" ht="12.75">
      <c r="A382" s="74"/>
      <c r="B382" s="30"/>
      <c r="C382" s="30"/>
      <c r="D382" s="30"/>
      <c r="E382" s="30"/>
      <c r="M382" s="76"/>
    </row>
    <row r="383" spans="1:13" ht="12.75">
      <c r="A383" s="74"/>
      <c r="B383" s="30"/>
      <c r="C383" s="30"/>
      <c r="D383" s="30"/>
      <c r="E383" s="30"/>
      <c r="M383" s="76"/>
    </row>
    <row r="384" spans="1:13" ht="12.75">
      <c r="A384" s="74"/>
      <c r="B384" s="30"/>
      <c r="C384" s="30"/>
      <c r="D384" s="30"/>
      <c r="E384" s="30"/>
      <c r="M384" s="76"/>
    </row>
    <row r="385" spans="1:13" ht="12.75">
      <c r="A385" s="74"/>
      <c r="B385" s="30"/>
      <c r="C385" s="30"/>
      <c r="D385" s="30"/>
      <c r="E385" s="30"/>
      <c r="M385" s="76"/>
    </row>
    <row r="386" spans="1:13" ht="12.75">
      <c r="A386" s="74"/>
      <c r="B386" s="30"/>
      <c r="C386" s="30"/>
      <c r="D386" s="30"/>
      <c r="E386" s="30"/>
      <c r="M386" s="76"/>
    </row>
    <row r="387" spans="1:13" ht="12.75">
      <c r="A387" s="74"/>
      <c r="B387" s="30"/>
      <c r="C387" s="30"/>
      <c r="D387" s="30"/>
      <c r="E387" s="30"/>
      <c r="M387" s="76"/>
    </row>
    <row r="388" spans="1:13" ht="12.75">
      <c r="A388" s="74"/>
      <c r="B388" s="30"/>
      <c r="C388" s="30"/>
      <c r="D388" s="30"/>
      <c r="E388" s="30"/>
      <c r="M388" s="76"/>
    </row>
    <row r="389" spans="1:13" ht="12.75">
      <c r="A389" s="74"/>
      <c r="B389" s="30"/>
      <c r="C389" s="30"/>
      <c r="D389" s="30"/>
      <c r="E389" s="30"/>
      <c r="M389" s="76"/>
    </row>
    <row r="390" spans="1:13" ht="12.75">
      <c r="A390" s="74"/>
      <c r="B390" s="30"/>
      <c r="C390" s="30"/>
      <c r="D390" s="30"/>
      <c r="E390" s="30"/>
      <c r="M390" s="76"/>
    </row>
    <row r="391" spans="1:13" ht="12.75">
      <c r="A391" s="74"/>
      <c r="B391" s="30"/>
      <c r="C391" s="30"/>
      <c r="D391" s="30"/>
      <c r="E391" s="30"/>
      <c r="M391" s="76"/>
    </row>
    <row r="392" spans="1:13" ht="12.75">
      <c r="A392" s="74"/>
      <c r="B392" s="30"/>
      <c r="C392" s="30"/>
      <c r="D392" s="30"/>
      <c r="E392" s="30"/>
      <c r="M392" s="76"/>
    </row>
    <row r="393" spans="1:13" ht="12.75">
      <c r="A393" s="74"/>
      <c r="B393" s="30"/>
      <c r="C393" s="30"/>
      <c r="D393" s="30"/>
      <c r="E393" s="30"/>
      <c r="M393" s="76"/>
    </row>
    <row r="394" spans="1:13" ht="12.75">
      <c r="A394" s="74"/>
      <c r="B394" s="30"/>
      <c r="C394" s="30"/>
      <c r="D394" s="30"/>
      <c r="E394" s="30"/>
      <c r="M394" s="76"/>
    </row>
    <row r="395" spans="1:13" ht="12.75">
      <c r="A395" s="74"/>
      <c r="B395" s="30"/>
      <c r="C395" s="30"/>
      <c r="D395" s="30"/>
      <c r="E395" s="30"/>
      <c r="M395" s="76"/>
    </row>
    <row r="396" spans="1:13" ht="12.75">
      <c r="A396" s="74"/>
      <c r="B396" s="30"/>
      <c r="C396" s="30"/>
      <c r="D396" s="30"/>
      <c r="E396" s="30"/>
      <c r="M396" s="76"/>
    </row>
    <row r="397" spans="1:13" ht="12.75">
      <c r="A397" s="74"/>
      <c r="B397" s="30"/>
      <c r="C397" s="30"/>
      <c r="D397" s="30"/>
      <c r="E397" s="30"/>
      <c r="M397" s="76"/>
    </row>
    <row r="398" spans="1:13" ht="12.75">
      <c r="A398" s="74"/>
      <c r="B398" s="30"/>
      <c r="C398" s="30"/>
      <c r="D398" s="30"/>
      <c r="E398" s="30"/>
      <c r="M398" s="76"/>
    </row>
    <row r="399" spans="1:13" ht="12.75">
      <c r="A399" s="74"/>
      <c r="B399" s="30"/>
      <c r="C399" s="30"/>
      <c r="D399" s="30"/>
      <c r="E399" s="30"/>
      <c r="M399" s="76"/>
    </row>
    <row r="400" spans="1:13" ht="12.75">
      <c r="A400" s="74"/>
      <c r="B400" s="30"/>
      <c r="C400" s="30"/>
      <c r="D400" s="30"/>
      <c r="E400" s="30"/>
      <c r="M400" s="76"/>
    </row>
    <row r="401" spans="1:13" ht="12.75">
      <c r="A401" s="74"/>
      <c r="B401" s="30"/>
      <c r="C401" s="30"/>
      <c r="D401" s="30"/>
      <c r="E401" s="30"/>
      <c r="M401" s="76"/>
    </row>
    <row r="402" spans="1:13" ht="12.75">
      <c r="A402" s="74"/>
      <c r="B402" s="30"/>
      <c r="C402" s="30"/>
      <c r="D402" s="30"/>
      <c r="E402" s="30"/>
      <c r="M402" s="76"/>
    </row>
    <row r="403" spans="1:13" ht="12.75">
      <c r="A403" s="74"/>
      <c r="B403" s="30"/>
      <c r="C403" s="30"/>
      <c r="D403" s="30"/>
      <c r="E403" s="30"/>
      <c r="M403" s="76"/>
    </row>
    <row r="404" spans="1:13" ht="12.75">
      <c r="A404" s="74"/>
      <c r="B404" s="30"/>
      <c r="C404" s="30"/>
      <c r="D404" s="30"/>
      <c r="E404" s="30"/>
      <c r="M404" s="76"/>
    </row>
    <row r="405" spans="1:13" ht="12.75">
      <c r="A405" s="74"/>
      <c r="B405" s="30"/>
      <c r="C405" s="30"/>
      <c r="D405" s="30"/>
      <c r="E405" s="30"/>
      <c r="M405" s="76"/>
    </row>
    <row r="406" spans="1:13" ht="12.75">
      <c r="A406" s="74"/>
      <c r="B406" s="30"/>
      <c r="C406" s="30"/>
      <c r="D406" s="30"/>
      <c r="E406" s="30"/>
      <c r="M406" s="76"/>
    </row>
    <row r="407" spans="1:13" ht="12.75">
      <c r="A407" s="74"/>
      <c r="B407" s="30"/>
      <c r="C407" s="30"/>
      <c r="D407" s="30"/>
      <c r="E407" s="30"/>
      <c r="M407" s="76"/>
    </row>
    <row r="408" spans="1:13" ht="12.75">
      <c r="A408" s="74"/>
      <c r="B408" s="30"/>
      <c r="C408" s="30"/>
      <c r="D408" s="30"/>
      <c r="E408" s="30"/>
      <c r="M408" s="76"/>
    </row>
    <row r="409" spans="1:13" ht="12.75">
      <c r="A409" s="74"/>
      <c r="B409" s="30"/>
      <c r="C409" s="30"/>
      <c r="D409" s="30"/>
      <c r="E409" s="30"/>
      <c r="M409" s="76"/>
    </row>
    <row r="410" spans="1:13" ht="12.75">
      <c r="A410" s="74"/>
      <c r="B410" s="30"/>
      <c r="C410" s="30"/>
      <c r="D410" s="30"/>
      <c r="E410" s="30"/>
      <c r="M410" s="76"/>
    </row>
    <row r="411" spans="1:13" ht="12.75">
      <c r="A411" s="74"/>
      <c r="B411" s="30"/>
      <c r="C411" s="30"/>
      <c r="D411" s="30"/>
      <c r="E411" s="30"/>
      <c r="M411" s="76"/>
    </row>
    <row r="412" spans="1:13" ht="12.75">
      <c r="A412" s="74"/>
      <c r="B412" s="30"/>
      <c r="C412" s="30"/>
      <c r="D412" s="30"/>
      <c r="E412" s="30"/>
      <c r="M412" s="76"/>
    </row>
    <row r="413" spans="1:13" ht="12.75">
      <c r="A413" s="74"/>
      <c r="B413" s="30"/>
      <c r="C413" s="30"/>
      <c r="D413" s="30"/>
      <c r="E413" s="30"/>
      <c r="M413" s="76"/>
    </row>
    <row r="414" spans="1:13" ht="12.75">
      <c r="A414" s="74"/>
      <c r="B414" s="30"/>
      <c r="C414" s="30"/>
      <c r="D414" s="30"/>
      <c r="E414" s="30"/>
      <c r="M414" s="76"/>
    </row>
    <row r="415" spans="1:13" ht="12.75">
      <c r="A415" s="74"/>
      <c r="B415" s="30"/>
      <c r="C415" s="30"/>
      <c r="D415" s="30"/>
      <c r="E415" s="30"/>
      <c r="M415" s="76"/>
    </row>
    <row r="416" spans="1:13" ht="12.75">
      <c r="A416" s="74"/>
      <c r="B416" s="30"/>
      <c r="C416" s="30"/>
      <c r="D416" s="30"/>
      <c r="E416" s="30"/>
      <c r="M416" s="76"/>
    </row>
    <row r="417" spans="1:13" ht="12.75">
      <c r="A417" s="74"/>
      <c r="B417" s="30"/>
      <c r="C417" s="30"/>
      <c r="D417" s="30"/>
      <c r="E417" s="30"/>
      <c r="M417" s="76"/>
    </row>
    <row r="418" spans="1:13" ht="12.75">
      <c r="A418" s="74"/>
      <c r="B418" s="30"/>
      <c r="C418" s="30"/>
      <c r="D418" s="30"/>
      <c r="E418" s="30"/>
      <c r="M418" s="76"/>
    </row>
    <row r="419" spans="1:13" ht="12.75">
      <c r="A419" s="74"/>
      <c r="B419" s="30"/>
      <c r="C419" s="30"/>
      <c r="D419" s="30"/>
      <c r="E419" s="30"/>
      <c r="M419" s="76"/>
    </row>
    <row r="420" spans="1:13" ht="12.75">
      <c r="A420" s="74"/>
      <c r="B420" s="30"/>
      <c r="C420" s="30"/>
      <c r="D420" s="30"/>
      <c r="E420" s="30"/>
      <c r="M420" s="76"/>
    </row>
    <row r="421" spans="1:13" ht="12.75">
      <c r="A421" s="74"/>
      <c r="B421" s="30"/>
      <c r="C421" s="30"/>
      <c r="D421" s="30"/>
      <c r="E421" s="30"/>
      <c r="M421" s="76"/>
    </row>
    <row r="422" spans="1:13" ht="12.75">
      <c r="A422" s="74"/>
      <c r="B422" s="30"/>
      <c r="C422" s="30"/>
      <c r="D422" s="30"/>
      <c r="E422" s="30"/>
      <c r="M422" s="76"/>
    </row>
    <row r="423" spans="1:13" ht="12.75">
      <c r="A423" s="74"/>
      <c r="B423" s="30"/>
      <c r="C423" s="30"/>
      <c r="D423" s="30"/>
      <c r="E423" s="30"/>
      <c r="M423" s="76"/>
    </row>
    <row r="424" spans="1:13" ht="12.75">
      <c r="A424" s="74"/>
      <c r="B424" s="30"/>
      <c r="C424" s="30"/>
      <c r="D424" s="30"/>
      <c r="E424" s="30"/>
      <c r="M424" s="76"/>
    </row>
    <row r="425" spans="1:13" ht="12.75">
      <c r="A425" s="74"/>
      <c r="B425" s="30"/>
      <c r="C425" s="30"/>
      <c r="D425" s="30"/>
      <c r="E425" s="30"/>
      <c r="M425" s="76"/>
    </row>
    <row r="426" spans="1:13" ht="12.75">
      <c r="A426" s="74"/>
      <c r="B426" s="30"/>
      <c r="C426" s="30"/>
      <c r="D426" s="30"/>
      <c r="E426" s="30"/>
      <c r="M426" s="76"/>
    </row>
    <row r="427" spans="1:13" ht="12.75">
      <c r="A427" s="74"/>
      <c r="B427" s="30"/>
      <c r="C427" s="30"/>
      <c r="D427" s="30"/>
      <c r="E427" s="30"/>
      <c r="M427" s="76"/>
    </row>
    <row r="428" spans="1:13" ht="12.75">
      <c r="A428" s="74"/>
      <c r="B428" s="30"/>
      <c r="C428" s="30"/>
      <c r="D428" s="30"/>
      <c r="E428" s="30"/>
      <c r="M428" s="76"/>
    </row>
    <row r="429" spans="1:13" ht="12.75">
      <c r="A429" s="74"/>
      <c r="B429" s="30"/>
      <c r="C429" s="30"/>
      <c r="D429" s="30"/>
      <c r="E429" s="30"/>
      <c r="M429" s="76"/>
    </row>
    <row r="430" spans="1:13" ht="12.75">
      <c r="A430" s="74"/>
      <c r="B430" s="30"/>
      <c r="C430" s="30"/>
      <c r="D430" s="30"/>
      <c r="E430" s="30"/>
      <c r="M430" s="76"/>
    </row>
    <row r="431" spans="1:13" ht="12.75">
      <c r="A431" s="74"/>
      <c r="B431" s="30"/>
      <c r="C431" s="30"/>
      <c r="D431" s="30"/>
      <c r="E431" s="30"/>
      <c r="M431" s="76"/>
    </row>
    <row r="432" spans="1:13" ht="12.75">
      <c r="A432" s="74"/>
      <c r="B432" s="30"/>
      <c r="C432" s="30"/>
      <c r="D432" s="30"/>
      <c r="E432" s="30"/>
      <c r="M432" s="76"/>
    </row>
    <row r="433" spans="1:13" ht="12.75">
      <c r="A433" s="74"/>
      <c r="B433" s="30"/>
      <c r="C433" s="30"/>
      <c r="D433" s="30"/>
      <c r="E433" s="30"/>
      <c r="M433" s="76"/>
    </row>
    <row r="434" spans="1:13" ht="12.75">
      <c r="A434" s="74"/>
      <c r="B434" s="30"/>
      <c r="C434" s="30"/>
      <c r="D434" s="30"/>
      <c r="E434" s="30"/>
      <c r="M434" s="76"/>
    </row>
    <row r="435" spans="1:13" ht="12.75">
      <c r="A435" s="74"/>
      <c r="B435" s="30"/>
      <c r="C435" s="30"/>
      <c r="D435" s="30"/>
      <c r="E435" s="30"/>
      <c r="M435" s="76"/>
    </row>
    <row r="436" spans="1:13" ht="12.75">
      <c r="A436" s="74"/>
      <c r="B436" s="30"/>
      <c r="C436" s="30"/>
      <c r="D436" s="30"/>
      <c r="E436" s="30"/>
      <c r="M436" s="76"/>
    </row>
    <row r="437" spans="1:13" ht="12.75">
      <c r="A437" s="74"/>
      <c r="B437" s="30"/>
      <c r="C437" s="30"/>
      <c r="D437" s="30"/>
      <c r="E437" s="30"/>
      <c r="M437" s="76"/>
    </row>
    <row r="438" spans="1:13" ht="12.75">
      <c r="A438" s="74"/>
      <c r="B438" s="30"/>
      <c r="C438" s="30"/>
      <c r="D438" s="30"/>
      <c r="E438" s="30"/>
      <c r="M438" s="76"/>
    </row>
    <row r="439" spans="1:13" ht="12.75">
      <c r="A439" s="74"/>
      <c r="B439" s="30"/>
      <c r="C439" s="30"/>
      <c r="D439" s="30"/>
      <c r="E439" s="30"/>
      <c r="M439" s="76"/>
    </row>
    <row r="440" spans="1:13" ht="12.75">
      <c r="A440" s="74"/>
      <c r="B440" s="30"/>
      <c r="C440" s="30"/>
      <c r="D440" s="30"/>
      <c r="E440" s="30"/>
      <c r="M440" s="76"/>
    </row>
    <row r="441" spans="1:13" ht="12.75">
      <c r="A441" s="74"/>
      <c r="B441" s="30"/>
      <c r="C441" s="30"/>
      <c r="D441" s="30"/>
      <c r="E441" s="30"/>
      <c r="M441" s="76"/>
    </row>
    <row r="442" spans="1:13" ht="12.75">
      <c r="A442" s="74"/>
      <c r="B442" s="30"/>
      <c r="C442" s="30"/>
      <c r="D442" s="30"/>
      <c r="E442" s="30"/>
      <c r="M442" s="76"/>
    </row>
    <row r="443" spans="1:13" ht="12.75">
      <c r="A443" s="74"/>
      <c r="B443" s="30"/>
      <c r="C443" s="30"/>
      <c r="D443" s="30"/>
      <c r="E443" s="30"/>
      <c r="M443" s="76"/>
    </row>
    <row r="444" spans="1:13" ht="12.75">
      <c r="A444" s="74"/>
      <c r="B444" s="30"/>
      <c r="C444" s="30"/>
      <c r="D444" s="30"/>
      <c r="E444" s="30"/>
      <c r="M444" s="76"/>
    </row>
    <row r="445" spans="1:13" ht="12.75">
      <c r="A445" s="74"/>
      <c r="B445" s="30"/>
      <c r="C445" s="30"/>
      <c r="D445" s="30"/>
      <c r="E445" s="30"/>
      <c r="M445" s="76"/>
    </row>
    <row r="446" spans="1:13" ht="12.75">
      <c r="A446" s="74"/>
      <c r="B446" s="30"/>
      <c r="C446" s="30"/>
      <c r="D446" s="30"/>
      <c r="E446" s="30"/>
      <c r="M446" s="76"/>
    </row>
    <row r="447" spans="1:13" ht="12.75">
      <c r="A447" s="74"/>
      <c r="B447" s="30"/>
      <c r="C447" s="30"/>
      <c r="D447" s="30"/>
      <c r="E447" s="30"/>
      <c r="M447" s="76"/>
    </row>
    <row r="448" spans="1:13" ht="12.75">
      <c r="A448" s="74"/>
      <c r="B448" s="30"/>
      <c r="C448" s="30"/>
      <c r="D448" s="30"/>
      <c r="E448" s="30"/>
      <c r="M448" s="76"/>
    </row>
    <row r="449" spans="1:13" ht="12.75">
      <c r="A449" s="74"/>
      <c r="B449" s="30"/>
      <c r="C449" s="30"/>
      <c r="D449" s="30"/>
      <c r="E449" s="30"/>
      <c r="M449" s="76"/>
    </row>
    <row r="450" spans="1:13" ht="12.75">
      <c r="A450" s="74"/>
      <c r="B450" s="30"/>
      <c r="C450" s="30"/>
      <c r="D450" s="30"/>
      <c r="E450" s="30"/>
      <c r="M450" s="76"/>
    </row>
    <row r="451" spans="1:13" ht="12.75">
      <c r="A451" s="74"/>
      <c r="B451" s="30"/>
      <c r="C451" s="30"/>
      <c r="D451" s="30"/>
      <c r="E451" s="30"/>
      <c r="M451" s="76"/>
    </row>
    <row r="452" spans="1:13" ht="12.75">
      <c r="A452" s="74"/>
      <c r="B452" s="30"/>
      <c r="C452" s="30"/>
      <c r="D452" s="30"/>
      <c r="E452" s="30"/>
      <c r="M452" s="76"/>
    </row>
    <row r="453" spans="1:13" ht="12.75">
      <c r="A453" s="74"/>
      <c r="B453" s="30"/>
      <c r="C453" s="30"/>
      <c r="D453" s="30"/>
      <c r="E453" s="30"/>
      <c r="M453" s="76"/>
    </row>
    <row r="454" spans="1:13" ht="12.75">
      <c r="A454" s="74"/>
      <c r="B454" s="30"/>
      <c r="C454" s="30"/>
      <c r="D454" s="30"/>
      <c r="E454" s="30"/>
      <c r="M454" s="76"/>
    </row>
    <row r="455" spans="1:13" ht="12.75">
      <c r="A455" s="74"/>
      <c r="B455" s="30"/>
      <c r="C455" s="30"/>
      <c r="D455" s="30"/>
      <c r="E455" s="30"/>
      <c r="M455" s="76"/>
    </row>
    <row r="456" spans="1:13" ht="12.75">
      <c r="A456" s="74"/>
      <c r="B456" s="30"/>
      <c r="C456" s="30"/>
      <c r="D456" s="30"/>
      <c r="E456" s="30"/>
      <c r="M456" s="76"/>
    </row>
    <row r="457" spans="1:13" ht="12.75">
      <c r="A457" s="74"/>
      <c r="B457" s="30"/>
      <c r="C457" s="30"/>
      <c r="D457" s="30"/>
      <c r="E457" s="30"/>
      <c r="M457" s="76"/>
    </row>
    <row r="458" spans="1:13" ht="12.75">
      <c r="A458" s="74"/>
      <c r="B458" s="30"/>
      <c r="C458" s="30"/>
      <c r="D458" s="30"/>
      <c r="E458" s="30"/>
      <c r="M458" s="76"/>
    </row>
    <row r="459" spans="1:13" ht="12.75">
      <c r="A459" s="74"/>
      <c r="B459" s="30"/>
      <c r="C459" s="30"/>
      <c r="D459" s="30"/>
      <c r="E459" s="30"/>
      <c r="M459" s="76"/>
    </row>
    <row r="460" spans="1:13" ht="12.75">
      <c r="A460" s="74"/>
      <c r="B460" s="30"/>
      <c r="C460" s="30"/>
      <c r="D460" s="30"/>
      <c r="E460" s="30"/>
      <c r="M460" s="76"/>
    </row>
    <row r="461" spans="1:13" ht="12.75">
      <c r="A461" s="74"/>
      <c r="B461" s="30"/>
      <c r="C461" s="30"/>
      <c r="D461" s="30"/>
      <c r="E461" s="30"/>
      <c r="M461" s="76"/>
    </row>
    <row r="462" spans="1:13" ht="12.75">
      <c r="A462" s="74"/>
      <c r="B462" s="30"/>
      <c r="C462" s="30"/>
      <c r="D462" s="30"/>
      <c r="E462" s="30"/>
      <c r="M462" s="76"/>
    </row>
    <row r="463" spans="1:13" ht="12.75">
      <c r="A463" s="74"/>
      <c r="B463" s="30"/>
      <c r="C463" s="30"/>
      <c r="D463" s="30"/>
      <c r="E463" s="30"/>
      <c r="M463" s="76"/>
    </row>
    <row r="464" spans="1:13" ht="12.75">
      <c r="A464" s="74"/>
      <c r="B464" s="30"/>
      <c r="C464" s="30"/>
      <c r="D464" s="30"/>
      <c r="E464" s="30"/>
      <c r="M464" s="76"/>
    </row>
    <row r="465" spans="1:13" ht="12.75">
      <c r="A465" s="74"/>
      <c r="B465" s="30"/>
      <c r="C465" s="30"/>
      <c r="D465" s="30"/>
      <c r="E465" s="30"/>
      <c r="M465" s="76"/>
    </row>
    <row r="466" spans="1:13" ht="12.75">
      <c r="A466" s="74"/>
      <c r="B466" s="30"/>
      <c r="C466" s="30"/>
      <c r="D466" s="30"/>
      <c r="E466" s="30"/>
      <c r="M466" s="76"/>
    </row>
    <row r="467" spans="1:13" ht="12.75">
      <c r="A467" s="74"/>
      <c r="B467" s="30"/>
      <c r="C467" s="30"/>
      <c r="D467" s="30"/>
      <c r="E467" s="30"/>
      <c r="M467" s="76"/>
    </row>
    <row r="468" spans="1:13" ht="12.75">
      <c r="A468" s="74"/>
      <c r="B468" s="30"/>
      <c r="C468" s="30"/>
      <c r="D468" s="30"/>
      <c r="E468" s="30"/>
      <c r="M468" s="76"/>
    </row>
    <row r="469" spans="1:13" ht="12.75">
      <c r="A469" s="74"/>
      <c r="B469" s="30"/>
      <c r="C469" s="30"/>
      <c r="D469" s="30"/>
      <c r="E469" s="30"/>
      <c r="M469" s="76"/>
    </row>
    <row r="470" spans="1:13" ht="12.75">
      <c r="A470" s="74"/>
      <c r="B470" s="30"/>
      <c r="C470" s="30"/>
      <c r="D470" s="30"/>
      <c r="E470" s="30"/>
      <c r="M470" s="76"/>
    </row>
    <row r="471" spans="1:13" ht="12.75">
      <c r="A471" s="74"/>
      <c r="B471" s="30"/>
      <c r="C471" s="30"/>
      <c r="D471" s="30"/>
      <c r="E471" s="30"/>
      <c r="M471" s="76"/>
    </row>
    <row r="472" spans="1:13" ht="12.75">
      <c r="A472" s="74"/>
      <c r="B472" s="30"/>
      <c r="C472" s="30"/>
      <c r="D472" s="30"/>
      <c r="E472" s="30"/>
      <c r="M472" s="76"/>
    </row>
    <row r="473" spans="1:13" ht="12.75">
      <c r="A473" s="74"/>
      <c r="B473" s="30"/>
      <c r="C473" s="30"/>
      <c r="D473" s="30"/>
      <c r="E473" s="30"/>
      <c r="M473" s="76"/>
    </row>
    <row r="474" spans="1:13" ht="12.75">
      <c r="A474" s="74"/>
      <c r="B474" s="30"/>
      <c r="C474" s="30"/>
      <c r="D474" s="30"/>
      <c r="E474" s="30"/>
      <c r="M474" s="76"/>
    </row>
    <row r="475" spans="1:13" ht="12.75">
      <c r="A475" s="74"/>
      <c r="B475" s="30"/>
      <c r="C475" s="30"/>
      <c r="D475" s="30"/>
      <c r="E475" s="30"/>
      <c r="M475" s="76"/>
    </row>
    <row r="476" spans="1:13" ht="12.75">
      <c r="A476" s="74"/>
      <c r="B476" s="30"/>
      <c r="C476" s="30"/>
      <c r="D476" s="30"/>
      <c r="E476" s="30"/>
      <c r="M476" s="76"/>
    </row>
    <row r="477" spans="1:13" ht="12.75">
      <c r="A477" s="74"/>
      <c r="B477" s="30"/>
      <c r="C477" s="30"/>
      <c r="D477" s="30"/>
      <c r="E477" s="30"/>
      <c r="M477" s="76"/>
    </row>
    <row r="478" spans="1:13" ht="12.75">
      <c r="A478" s="74"/>
      <c r="B478" s="30"/>
      <c r="C478" s="30"/>
      <c r="D478" s="30"/>
      <c r="E478" s="30"/>
      <c r="M478" s="76"/>
    </row>
    <row r="479" spans="1:13" ht="12.75">
      <c r="A479" s="74"/>
      <c r="B479" s="30"/>
      <c r="C479" s="30"/>
      <c r="D479" s="30"/>
      <c r="E479" s="30"/>
      <c r="M479" s="76"/>
    </row>
    <row r="480" spans="1:13" ht="12.75">
      <c r="A480" s="74"/>
      <c r="B480" s="30"/>
      <c r="C480" s="30"/>
      <c r="D480" s="30"/>
      <c r="E480" s="30"/>
      <c r="M480" s="76"/>
    </row>
    <row r="481" spans="1:13" ht="12.75">
      <c r="A481" s="74"/>
      <c r="B481" s="30"/>
      <c r="C481" s="30"/>
      <c r="D481" s="30"/>
      <c r="E481" s="30"/>
      <c r="M481" s="76"/>
    </row>
    <row r="482" spans="1:13" ht="12.75">
      <c r="A482" s="74"/>
      <c r="B482" s="30"/>
      <c r="C482" s="30"/>
      <c r="D482" s="30"/>
      <c r="E482" s="30"/>
      <c r="M482" s="76"/>
    </row>
    <row r="483" spans="1:13" ht="12.75">
      <c r="A483" s="74"/>
      <c r="B483" s="30"/>
      <c r="C483" s="30"/>
      <c r="D483" s="30"/>
      <c r="E483" s="30"/>
      <c r="M483" s="76"/>
    </row>
    <row r="484" spans="1:13" ht="12.75">
      <c r="A484" s="74"/>
      <c r="B484" s="30"/>
      <c r="C484" s="30"/>
      <c r="D484" s="30"/>
      <c r="E484" s="30"/>
      <c r="M484" s="76"/>
    </row>
    <row r="485" spans="1:13" ht="12.75">
      <c r="A485" s="74"/>
      <c r="B485" s="30"/>
      <c r="C485" s="30"/>
      <c r="D485" s="30"/>
      <c r="E485" s="30"/>
      <c r="M485" s="76"/>
    </row>
    <row r="486" spans="1:13" ht="12.75">
      <c r="A486" s="74"/>
      <c r="B486" s="30"/>
      <c r="C486" s="30"/>
      <c r="D486" s="30"/>
      <c r="E486" s="30"/>
      <c r="M486" s="76"/>
    </row>
    <row r="487" spans="1:13" ht="12.75">
      <c r="A487" s="74"/>
      <c r="B487" s="30"/>
      <c r="C487" s="30"/>
      <c r="D487" s="30"/>
      <c r="E487" s="30"/>
      <c r="M487" s="76"/>
    </row>
    <row r="488" spans="1:13" ht="12.75">
      <c r="A488" s="74"/>
      <c r="B488" s="30"/>
      <c r="C488" s="30"/>
      <c r="D488" s="30"/>
      <c r="E488" s="30"/>
      <c r="M488" s="76"/>
    </row>
    <row r="489" spans="1:13" ht="12.75">
      <c r="A489" s="74"/>
      <c r="B489" s="30"/>
      <c r="C489" s="30"/>
      <c r="D489" s="30"/>
      <c r="E489" s="30"/>
      <c r="M489" s="76"/>
    </row>
    <row r="490" spans="1:13" ht="12.75">
      <c r="A490" s="74"/>
      <c r="B490" s="30"/>
      <c r="C490" s="30"/>
      <c r="D490" s="30"/>
      <c r="E490" s="30"/>
      <c r="M490" s="76"/>
    </row>
    <row r="491" spans="1:13" ht="12.75">
      <c r="A491" s="74"/>
      <c r="B491" s="30"/>
      <c r="C491" s="30"/>
      <c r="D491" s="30"/>
      <c r="E491" s="30"/>
      <c r="M491" s="76"/>
    </row>
    <row r="492" spans="1:13" ht="12.75">
      <c r="A492" s="74"/>
      <c r="B492" s="30"/>
      <c r="C492" s="30"/>
      <c r="D492" s="30"/>
      <c r="E492" s="30"/>
      <c r="M492" s="76"/>
    </row>
    <row r="493" spans="1:13" ht="12.75">
      <c r="A493" s="74"/>
      <c r="B493" s="30"/>
      <c r="C493" s="30"/>
      <c r="D493" s="30"/>
      <c r="E493" s="30"/>
      <c r="M493" s="76"/>
    </row>
    <row r="494" spans="1:13" ht="12.75">
      <c r="A494" s="74"/>
      <c r="B494" s="30"/>
      <c r="C494" s="30"/>
      <c r="D494" s="30"/>
      <c r="E494" s="30"/>
      <c r="M494" s="76"/>
    </row>
    <row r="495" spans="1:13" ht="12.75">
      <c r="A495" s="74"/>
      <c r="B495" s="30"/>
      <c r="C495" s="30"/>
      <c r="D495" s="30"/>
      <c r="E495" s="30"/>
      <c r="M495" s="76"/>
    </row>
    <row r="496" spans="1:13" ht="12.75">
      <c r="A496" s="74"/>
      <c r="B496" s="30"/>
      <c r="C496" s="30"/>
      <c r="D496" s="30"/>
      <c r="E496" s="30"/>
      <c r="M496" s="76"/>
    </row>
    <row r="497" spans="1:13" ht="12.75">
      <c r="A497" s="74"/>
      <c r="B497" s="30"/>
      <c r="C497" s="30"/>
      <c r="D497" s="30"/>
      <c r="E497" s="30"/>
      <c r="M497" s="76"/>
    </row>
    <row r="498" spans="1:13" ht="12.75">
      <c r="A498" s="74"/>
      <c r="B498" s="30"/>
      <c r="C498" s="30"/>
      <c r="D498" s="30"/>
      <c r="E498" s="30"/>
      <c r="M498" s="76"/>
    </row>
    <row r="499" spans="1:13" ht="12.75">
      <c r="A499" s="74"/>
      <c r="B499" s="30"/>
      <c r="C499" s="30"/>
      <c r="D499" s="30"/>
      <c r="E499" s="30"/>
      <c r="M499" s="76"/>
    </row>
    <row r="500" spans="1:13" ht="12.75">
      <c r="A500" s="74"/>
      <c r="B500" s="30"/>
      <c r="C500" s="30"/>
      <c r="D500" s="30"/>
      <c r="E500" s="30"/>
      <c r="M500" s="76"/>
    </row>
    <row r="501" spans="1:13" ht="12.75">
      <c r="A501" s="74"/>
      <c r="B501" s="30"/>
      <c r="C501" s="30"/>
      <c r="D501" s="30"/>
      <c r="E501" s="30"/>
      <c r="M501" s="76"/>
    </row>
    <row r="502" spans="1:13" ht="12.75">
      <c r="A502" s="74"/>
      <c r="B502" s="30"/>
      <c r="C502" s="30"/>
      <c r="D502" s="30"/>
      <c r="E502" s="30"/>
      <c r="M502" s="76"/>
    </row>
    <row r="503" spans="1:13" ht="12.75">
      <c r="A503" s="74"/>
      <c r="B503" s="30"/>
      <c r="C503" s="30"/>
      <c r="D503" s="30"/>
      <c r="E503" s="30"/>
      <c r="M503" s="76"/>
    </row>
    <row r="504" spans="1:13" ht="12.75">
      <c r="A504" s="74"/>
      <c r="B504" s="30"/>
      <c r="C504" s="30"/>
      <c r="D504" s="30"/>
      <c r="E504" s="30"/>
      <c r="M504" s="76"/>
    </row>
    <row r="505" spans="1:13" ht="12.75">
      <c r="A505" s="74"/>
      <c r="B505" s="30"/>
      <c r="C505" s="30"/>
      <c r="D505" s="30"/>
      <c r="E505" s="30"/>
      <c r="M505" s="76"/>
    </row>
    <row r="506" spans="1:13" ht="12.75">
      <c r="A506" s="74"/>
      <c r="B506" s="30"/>
      <c r="C506" s="30"/>
      <c r="D506" s="30"/>
      <c r="E506" s="30"/>
      <c r="M506" s="76"/>
    </row>
    <row r="507" spans="1:13" ht="12.75">
      <c r="A507" s="74"/>
      <c r="B507" s="30"/>
      <c r="C507" s="30"/>
      <c r="D507" s="30"/>
      <c r="E507" s="30"/>
      <c r="M507" s="76"/>
    </row>
    <row r="508" spans="1:13" ht="12.75">
      <c r="A508" s="74"/>
      <c r="B508" s="30"/>
      <c r="C508" s="30"/>
      <c r="D508" s="30"/>
      <c r="E508" s="30"/>
      <c r="M508" s="76"/>
    </row>
    <row r="509" spans="1:13" ht="12.75">
      <c r="A509" s="74"/>
      <c r="B509" s="30"/>
      <c r="C509" s="30"/>
      <c r="D509" s="30"/>
      <c r="E509" s="30"/>
      <c r="M509" s="76"/>
    </row>
    <row r="510" spans="1:13" ht="12.75">
      <c r="A510" s="74"/>
      <c r="B510" s="30"/>
      <c r="C510" s="30"/>
      <c r="D510" s="30"/>
      <c r="E510" s="30"/>
      <c r="M510" s="76"/>
    </row>
    <row r="511" spans="1:13" ht="12.75">
      <c r="A511" s="74"/>
      <c r="B511" s="30"/>
      <c r="C511" s="30"/>
      <c r="D511" s="30"/>
      <c r="E511" s="30"/>
      <c r="M511" s="76"/>
    </row>
    <row r="512" spans="1:13" ht="12.75">
      <c r="A512" s="74"/>
      <c r="B512" s="30"/>
      <c r="C512" s="30"/>
      <c r="D512" s="30"/>
      <c r="E512" s="30"/>
      <c r="M512" s="76"/>
    </row>
    <row r="513" spans="1:13" ht="12.75">
      <c r="A513" s="74"/>
      <c r="B513" s="30"/>
      <c r="C513" s="30"/>
      <c r="D513" s="30"/>
      <c r="E513" s="30"/>
      <c r="M513" s="76"/>
    </row>
    <row r="514" spans="1:13" ht="12.75">
      <c r="A514" s="74"/>
      <c r="B514" s="30"/>
      <c r="C514" s="30"/>
      <c r="D514" s="30"/>
      <c r="E514" s="30"/>
      <c r="M514" s="76"/>
    </row>
    <row r="515" spans="1:13" ht="12.75">
      <c r="A515" s="74"/>
      <c r="B515" s="30"/>
      <c r="C515" s="30"/>
      <c r="D515" s="30"/>
      <c r="E515" s="30"/>
      <c r="M515" s="76"/>
    </row>
    <row r="516" spans="1:13" ht="12.75">
      <c r="A516" s="74"/>
      <c r="B516" s="30"/>
      <c r="C516" s="30"/>
      <c r="D516" s="30"/>
      <c r="E516" s="30"/>
      <c r="M516" s="76"/>
    </row>
    <row r="517" spans="1:13" ht="12.75">
      <c r="A517" s="74"/>
      <c r="B517" s="30"/>
      <c r="C517" s="30"/>
      <c r="D517" s="30"/>
      <c r="E517" s="30"/>
      <c r="M517" s="76"/>
    </row>
    <row r="518" spans="1:13" ht="12.75">
      <c r="A518" s="74"/>
      <c r="B518" s="30"/>
      <c r="C518" s="30"/>
      <c r="D518" s="30"/>
      <c r="E518" s="30"/>
      <c r="M518" s="76"/>
    </row>
    <row r="519" spans="1:13" ht="12.75">
      <c r="A519" s="74"/>
      <c r="B519" s="30"/>
      <c r="C519" s="30"/>
      <c r="D519" s="30"/>
      <c r="E519" s="30"/>
      <c r="M519" s="76"/>
    </row>
    <row r="520" spans="1:13" ht="12.75">
      <c r="A520" s="74"/>
      <c r="B520" s="30"/>
      <c r="C520" s="30"/>
      <c r="D520" s="30"/>
      <c r="E520" s="30"/>
      <c r="M520" s="76"/>
    </row>
    <row r="521" spans="1:13" ht="12.75">
      <c r="A521" s="74"/>
      <c r="B521" s="30"/>
      <c r="C521" s="30"/>
      <c r="D521" s="30"/>
      <c r="E521" s="30"/>
      <c r="M521" s="76"/>
    </row>
    <row r="522" spans="1:13" ht="12.75">
      <c r="A522" s="74"/>
      <c r="B522" s="30"/>
      <c r="C522" s="30"/>
      <c r="D522" s="30"/>
      <c r="E522" s="30"/>
      <c r="M522" s="76"/>
    </row>
    <row r="523" spans="1:13" ht="12.75">
      <c r="A523" s="74"/>
      <c r="B523" s="30"/>
      <c r="C523" s="30"/>
      <c r="D523" s="30"/>
      <c r="E523" s="30"/>
      <c r="M523" s="76"/>
    </row>
    <row r="524" spans="1:13" ht="12.75">
      <c r="A524" s="74"/>
      <c r="B524" s="30"/>
      <c r="C524" s="30"/>
      <c r="D524" s="30"/>
      <c r="E524" s="30"/>
      <c r="M524" s="76"/>
    </row>
    <row r="525" spans="1:13" ht="12.75">
      <c r="A525" s="74"/>
      <c r="B525" s="30"/>
      <c r="C525" s="30"/>
      <c r="D525" s="30"/>
      <c r="E525" s="30"/>
      <c r="M525" s="76"/>
    </row>
    <row r="526" spans="1:13" ht="12.75">
      <c r="A526" s="74"/>
      <c r="B526" s="30"/>
      <c r="C526" s="30"/>
      <c r="D526" s="30"/>
      <c r="E526" s="30"/>
      <c r="M526" s="76"/>
    </row>
    <row r="527" spans="1:13" ht="12.75">
      <c r="A527" s="74"/>
      <c r="B527" s="30"/>
      <c r="C527" s="30"/>
      <c r="D527" s="30"/>
      <c r="E527" s="30"/>
      <c r="M527" s="76"/>
    </row>
    <row r="528" spans="1:13" ht="12.75">
      <c r="A528" s="74"/>
      <c r="B528" s="30"/>
      <c r="C528" s="30"/>
      <c r="D528" s="30"/>
      <c r="E528" s="30"/>
      <c r="M528" s="76"/>
    </row>
    <row r="529" spans="1:13" ht="12.75">
      <c r="A529" s="74"/>
      <c r="B529" s="30"/>
      <c r="C529" s="30"/>
      <c r="D529" s="30"/>
      <c r="E529" s="30"/>
      <c r="M529" s="76"/>
    </row>
    <row r="530" spans="1:13" ht="12.75">
      <c r="A530" s="74"/>
      <c r="B530" s="30"/>
      <c r="C530" s="30"/>
      <c r="D530" s="30"/>
      <c r="E530" s="30"/>
      <c r="M530" s="76"/>
    </row>
    <row r="531" spans="1:13" ht="12.75">
      <c r="A531" s="74"/>
      <c r="B531" s="30"/>
      <c r="C531" s="30"/>
      <c r="D531" s="30"/>
      <c r="E531" s="30"/>
      <c r="M531" s="76"/>
    </row>
    <row r="532" spans="1:13" ht="12.75">
      <c r="A532" s="74"/>
      <c r="B532" s="30"/>
      <c r="C532" s="30"/>
      <c r="D532" s="30"/>
      <c r="E532" s="30"/>
      <c r="M532" s="76"/>
    </row>
    <row r="533" spans="1:13" ht="12.75">
      <c r="A533" s="74"/>
      <c r="B533" s="30"/>
      <c r="C533" s="30"/>
      <c r="D533" s="30"/>
      <c r="E533" s="30"/>
      <c r="M533" s="76"/>
    </row>
    <row r="534" spans="1:13" ht="12.75">
      <c r="A534" s="74"/>
      <c r="B534" s="30"/>
      <c r="C534" s="30"/>
      <c r="D534" s="30"/>
      <c r="E534" s="30"/>
      <c r="M534" s="76"/>
    </row>
    <row r="535" spans="1:13" ht="12.75">
      <c r="A535" s="74"/>
      <c r="B535" s="30"/>
      <c r="C535" s="30"/>
      <c r="D535" s="30"/>
      <c r="E535" s="30"/>
      <c r="M535" s="76"/>
    </row>
    <row r="536" spans="1:13" ht="12.75">
      <c r="A536" s="74"/>
      <c r="B536" s="30"/>
      <c r="C536" s="30"/>
      <c r="D536" s="30"/>
      <c r="E536" s="30"/>
      <c r="M536" s="76"/>
    </row>
    <row r="537" spans="1:13" ht="12.75">
      <c r="A537" s="74"/>
      <c r="B537" s="30"/>
      <c r="C537" s="30"/>
      <c r="D537" s="30"/>
      <c r="E537" s="30"/>
      <c r="M537" s="76"/>
    </row>
    <row r="538" spans="1:13" ht="12.75">
      <c r="A538" s="74"/>
      <c r="B538" s="30"/>
      <c r="C538" s="30"/>
      <c r="D538" s="30"/>
      <c r="E538" s="30"/>
      <c r="M538" s="76"/>
    </row>
    <row r="539" spans="1:13" ht="12.75">
      <c r="A539" s="74"/>
      <c r="B539" s="30"/>
      <c r="C539" s="30"/>
      <c r="D539" s="30"/>
      <c r="E539" s="30"/>
      <c r="M539" s="76"/>
    </row>
    <row r="540" spans="1:13" ht="12.75">
      <c r="A540" s="74"/>
      <c r="B540" s="30"/>
      <c r="C540" s="30"/>
      <c r="D540" s="30"/>
      <c r="E540" s="30"/>
      <c r="M540" s="76"/>
    </row>
    <row r="541" spans="1:13" ht="12.75">
      <c r="A541" s="74"/>
      <c r="B541" s="30"/>
      <c r="C541" s="30"/>
      <c r="D541" s="30"/>
      <c r="E541" s="30"/>
      <c r="M541" s="76"/>
    </row>
    <row r="542" spans="1:13" ht="12.75">
      <c r="A542" s="74"/>
      <c r="B542" s="30"/>
      <c r="C542" s="30"/>
      <c r="D542" s="30"/>
      <c r="E542" s="30"/>
      <c r="M542" s="76"/>
    </row>
    <row r="543" spans="1:13" ht="12.75">
      <c r="A543" s="74"/>
      <c r="B543" s="30"/>
      <c r="C543" s="30"/>
      <c r="D543" s="30"/>
      <c r="E543" s="30"/>
      <c r="M543" s="76"/>
    </row>
    <row r="544" spans="1:13" ht="12.75">
      <c r="A544" s="74"/>
      <c r="B544" s="30"/>
      <c r="C544" s="30"/>
      <c r="D544" s="30"/>
      <c r="E544" s="30"/>
      <c r="M544" s="76"/>
    </row>
    <row r="545" spans="1:13" ht="12.75">
      <c r="A545" s="74"/>
      <c r="B545" s="30"/>
      <c r="C545" s="30"/>
      <c r="D545" s="30"/>
      <c r="E545" s="30"/>
      <c r="M545" s="76"/>
    </row>
    <row r="546" spans="1:13" ht="12.75">
      <c r="A546" s="74"/>
      <c r="B546" s="30"/>
      <c r="C546" s="30"/>
      <c r="D546" s="30"/>
      <c r="E546" s="30"/>
      <c r="M546" s="76"/>
    </row>
    <row r="547" spans="1:13" ht="12.75">
      <c r="A547" s="74"/>
      <c r="B547" s="30"/>
      <c r="C547" s="30"/>
      <c r="D547" s="30"/>
      <c r="E547" s="30"/>
      <c r="M547" s="76"/>
    </row>
    <row r="548" spans="1:13" ht="12.75">
      <c r="A548" s="74"/>
      <c r="B548" s="30"/>
      <c r="C548" s="30"/>
      <c r="D548" s="30"/>
      <c r="E548" s="30"/>
      <c r="M548" s="76"/>
    </row>
    <row r="549" spans="1:13" ht="12.75">
      <c r="A549" s="74"/>
      <c r="B549" s="30"/>
      <c r="C549" s="30"/>
      <c r="D549" s="30"/>
      <c r="E549" s="30"/>
      <c r="M549" s="76"/>
    </row>
    <row r="550" spans="1:13" ht="12.75">
      <c r="A550" s="74"/>
      <c r="B550" s="30"/>
      <c r="C550" s="30"/>
      <c r="D550" s="30"/>
      <c r="E550" s="30"/>
      <c r="M550" s="76"/>
    </row>
    <row r="551" spans="1:13" ht="12.75">
      <c r="A551" s="74"/>
      <c r="B551" s="30"/>
      <c r="C551" s="30"/>
      <c r="D551" s="30"/>
      <c r="E551" s="30"/>
      <c r="M551" s="76"/>
    </row>
    <row r="552" spans="1:13" ht="12.75">
      <c r="A552" s="74"/>
      <c r="B552" s="30"/>
      <c r="C552" s="30"/>
      <c r="D552" s="30"/>
      <c r="E552" s="30"/>
      <c r="M552" s="76"/>
    </row>
    <row r="553" spans="1:13" ht="12.75">
      <c r="A553" s="74"/>
      <c r="B553" s="30"/>
      <c r="C553" s="30"/>
      <c r="D553" s="30"/>
      <c r="E553" s="30"/>
      <c r="M553" s="76"/>
    </row>
    <row r="554" spans="1:13" ht="12.75">
      <c r="A554" s="74"/>
      <c r="B554" s="30"/>
      <c r="C554" s="30"/>
      <c r="D554" s="30"/>
      <c r="E554" s="30"/>
      <c r="M554" s="76"/>
    </row>
    <row r="555" spans="1:13" ht="12.75">
      <c r="A555" s="74"/>
      <c r="B555" s="30"/>
      <c r="C555" s="30"/>
      <c r="D555" s="30"/>
      <c r="E555" s="30"/>
      <c r="M555" s="76"/>
    </row>
    <row r="556" spans="1:13" ht="12.75">
      <c r="A556" s="74"/>
      <c r="B556" s="30"/>
      <c r="C556" s="30"/>
      <c r="D556" s="30"/>
      <c r="E556" s="30"/>
      <c r="M556" s="76"/>
    </row>
    <row r="557" spans="1:13" ht="12.75">
      <c r="A557" s="74"/>
      <c r="B557" s="30"/>
      <c r="C557" s="30"/>
      <c r="D557" s="30"/>
      <c r="E557" s="30"/>
      <c r="M557" s="76"/>
    </row>
    <row r="558" spans="1:13" ht="12.75">
      <c r="A558" s="74"/>
      <c r="B558" s="30"/>
      <c r="C558" s="30"/>
      <c r="D558" s="30"/>
      <c r="E558" s="30"/>
      <c r="M558" s="76"/>
    </row>
    <row r="559" spans="1:13" ht="12.75">
      <c r="A559" s="74"/>
      <c r="B559" s="30"/>
      <c r="C559" s="30"/>
      <c r="D559" s="30"/>
      <c r="E559" s="30"/>
      <c r="M559" s="76"/>
    </row>
    <row r="560" spans="1:13" ht="12.75">
      <c r="A560" s="74"/>
      <c r="B560" s="30"/>
      <c r="C560" s="30"/>
      <c r="D560" s="30"/>
      <c r="E560" s="30"/>
      <c r="M560" s="76"/>
    </row>
    <row r="561" spans="1:13" ht="12.75">
      <c r="A561" s="74"/>
      <c r="B561" s="30"/>
      <c r="C561" s="30"/>
      <c r="D561" s="30"/>
      <c r="E561" s="30"/>
      <c r="M561" s="76"/>
    </row>
    <row r="562" spans="1:13" ht="12.75">
      <c r="A562" s="74"/>
      <c r="B562" s="30"/>
      <c r="C562" s="30"/>
      <c r="D562" s="30"/>
      <c r="E562" s="30"/>
      <c r="M562" s="76"/>
    </row>
    <row r="563" spans="1:13" ht="12.75">
      <c r="A563" s="74"/>
      <c r="B563" s="30"/>
      <c r="C563" s="30"/>
      <c r="D563" s="30"/>
      <c r="E563" s="30"/>
      <c r="M563" s="76"/>
    </row>
    <row r="564" spans="1:13" ht="12.75">
      <c r="A564" s="74"/>
      <c r="B564" s="30"/>
      <c r="C564" s="30"/>
      <c r="D564" s="30"/>
      <c r="E564" s="30"/>
      <c r="M564" s="76"/>
    </row>
    <row r="565" spans="1:13" ht="12.75">
      <c r="A565" s="74"/>
      <c r="B565" s="30"/>
      <c r="C565" s="30"/>
      <c r="D565" s="30"/>
      <c r="E565" s="30"/>
      <c r="M565" s="76"/>
    </row>
    <row r="566" spans="1:13" ht="12.75">
      <c r="A566" s="74"/>
      <c r="B566" s="30"/>
      <c r="C566" s="30"/>
      <c r="D566" s="30"/>
      <c r="E566" s="30"/>
      <c r="M566" s="76"/>
    </row>
    <row r="567" spans="1:13" ht="12.75">
      <c r="A567" s="74"/>
      <c r="B567" s="30"/>
      <c r="C567" s="30"/>
      <c r="D567" s="30"/>
      <c r="E567" s="30"/>
      <c r="M567" s="76"/>
    </row>
    <row r="568" spans="1:13" ht="12.75">
      <c r="A568" s="74"/>
      <c r="B568" s="30"/>
      <c r="C568" s="30"/>
      <c r="D568" s="30"/>
      <c r="E568" s="30"/>
      <c r="M568" s="76"/>
    </row>
    <row r="569" spans="1:13" ht="12.75">
      <c r="A569" s="74"/>
      <c r="B569" s="30"/>
      <c r="C569" s="30"/>
      <c r="D569" s="30"/>
      <c r="E569" s="30"/>
      <c r="M569" s="76"/>
    </row>
    <row r="570" spans="1:13" ht="12.75">
      <c r="A570" s="74"/>
      <c r="B570" s="30"/>
      <c r="C570" s="30"/>
      <c r="D570" s="30"/>
      <c r="E570" s="30"/>
      <c r="M570" s="76"/>
    </row>
    <row r="571" spans="1:13" ht="12.75">
      <c r="A571" s="74"/>
      <c r="B571" s="30"/>
      <c r="C571" s="30"/>
      <c r="D571" s="30"/>
      <c r="E571" s="30"/>
      <c r="M571" s="76"/>
    </row>
    <row r="572" spans="1:13" ht="12.75">
      <c r="A572" s="74"/>
      <c r="B572" s="30"/>
      <c r="C572" s="30"/>
      <c r="D572" s="30"/>
      <c r="E572" s="30"/>
      <c r="M572" s="76"/>
    </row>
    <row r="573" spans="1:13" ht="12.75">
      <c r="A573" s="74"/>
      <c r="B573" s="30"/>
      <c r="C573" s="30"/>
      <c r="D573" s="30"/>
      <c r="E573" s="30"/>
      <c r="M573" s="76"/>
    </row>
    <row r="574" spans="1:13" ht="12.75">
      <c r="A574" s="74"/>
      <c r="B574" s="30"/>
      <c r="C574" s="30"/>
      <c r="D574" s="30"/>
      <c r="E574" s="30"/>
      <c r="M574" s="76"/>
    </row>
    <row r="575" spans="1:13" ht="12.75">
      <c r="A575" s="74"/>
      <c r="B575" s="30"/>
      <c r="C575" s="30"/>
      <c r="D575" s="30"/>
      <c r="E575" s="30"/>
      <c r="M575" s="76"/>
    </row>
    <row r="576" spans="1:13" ht="12.75">
      <c r="A576" s="74"/>
      <c r="B576" s="30"/>
      <c r="C576" s="30"/>
      <c r="D576" s="30"/>
      <c r="E576" s="30"/>
      <c r="M576" s="76"/>
    </row>
    <row r="577" spans="1:13" ht="12.75">
      <c r="A577" s="74"/>
      <c r="B577" s="30"/>
      <c r="C577" s="30"/>
      <c r="D577" s="30"/>
      <c r="E577" s="30"/>
      <c r="M577" s="76"/>
    </row>
    <row r="578" spans="1:13" ht="12.75">
      <c r="A578" s="74"/>
      <c r="B578" s="30"/>
      <c r="C578" s="30"/>
      <c r="D578" s="30"/>
      <c r="E578" s="30"/>
      <c r="M578" s="76"/>
    </row>
    <row r="579" spans="1:13" ht="12.75">
      <c r="A579" s="74"/>
      <c r="B579" s="30"/>
      <c r="C579" s="30"/>
      <c r="D579" s="30"/>
      <c r="E579" s="30"/>
      <c r="M579" s="76"/>
    </row>
    <row r="580" spans="1:13" ht="12.75">
      <c r="A580" s="74"/>
      <c r="B580" s="30"/>
      <c r="C580" s="30"/>
      <c r="D580" s="30"/>
      <c r="E580" s="30"/>
      <c r="M580" s="76"/>
    </row>
    <row r="581" spans="1:13" ht="12.75">
      <c r="A581" s="74"/>
      <c r="B581" s="30"/>
      <c r="C581" s="30"/>
      <c r="D581" s="30"/>
      <c r="E581" s="30"/>
      <c r="M581" s="76"/>
    </row>
    <row r="582" spans="1:13" ht="12.75">
      <c r="A582" s="74"/>
      <c r="B582" s="30"/>
      <c r="C582" s="30"/>
      <c r="D582" s="30"/>
      <c r="E582" s="30"/>
      <c r="M582" s="76"/>
    </row>
    <row r="583" spans="1:13" ht="12.75">
      <c r="A583" s="74"/>
      <c r="B583" s="30"/>
      <c r="C583" s="30"/>
      <c r="D583" s="30"/>
      <c r="E583" s="30"/>
      <c r="M583" s="76"/>
    </row>
    <row r="584" spans="1:13" ht="12.75">
      <c r="A584" s="74"/>
      <c r="B584" s="30"/>
      <c r="C584" s="30"/>
      <c r="D584" s="30"/>
      <c r="E584" s="30"/>
      <c r="M584" s="76"/>
    </row>
    <row r="585" spans="1:13" ht="12.75">
      <c r="A585" s="74"/>
      <c r="B585" s="30"/>
      <c r="C585" s="30"/>
      <c r="D585" s="30"/>
      <c r="E585" s="30"/>
      <c r="M585" s="76"/>
    </row>
    <row r="586" spans="1:13" ht="12.75">
      <c r="A586" s="74"/>
      <c r="B586" s="30"/>
      <c r="C586" s="30"/>
      <c r="D586" s="30"/>
      <c r="E586" s="30"/>
      <c r="M586" s="76"/>
    </row>
    <row r="587" spans="1:13" ht="12.75">
      <c r="A587" s="74"/>
      <c r="B587" s="30"/>
      <c r="C587" s="30"/>
      <c r="D587" s="30"/>
      <c r="E587" s="30"/>
      <c r="M587" s="76"/>
    </row>
    <row r="588" spans="1:13" ht="12.75">
      <c r="A588" s="74"/>
      <c r="B588" s="30"/>
      <c r="C588" s="30"/>
      <c r="D588" s="30"/>
      <c r="E588" s="30"/>
      <c r="M588" s="76"/>
    </row>
    <row r="589" spans="1:13" ht="12.75">
      <c r="A589" s="74"/>
      <c r="B589" s="30"/>
      <c r="C589" s="30"/>
      <c r="D589" s="30"/>
      <c r="E589" s="30"/>
      <c r="M589" s="76"/>
    </row>
    <row r="590" spans="1:13" ht="12.75">
      <c r="A590" s="74"/>
      <c r="B590" s="30"/>
      <c r="C590" s="30"/>
      <c r="D590" s="30"/>
      <c r="E590" s="30"/>
      <c r="M590" s="76"/>
    </row>
    <row r="591" spans="1:13" ht="12.75">
      <c r="A591" s="74"/>
      <c r="B591" s="30"/>
      <c r="C591" s="30"/>
      <c r="D591" s="30"/>
      <c r="E591" s="30"/>
      <c r="M591" s="76"/>
    </row>
    <row r="592" spans="1:13" ht="12.75">
      <c r="A592" s="74"/>
      <c r="B592" s="30"/>
      <c r="C592" s="30"/>
      <c r="D592" s="30"/>
      <c r="E592" s="30"/>
      <c r="M592" s="76"/>
    </row>
    <row r="593" spans="1:13" ht="12.75">
      <c r="A593" s="74"/>
      <c r="B593" s="30"/>
      <c r="C593" s="30"/>
      <c r="D593" s="30"/>
      <c r="E593" s="30"/>
      <c r="M593" s="76"/>
    </row>
    <row r="594" spans="1:13" ht="12.75">
      <c r="A594" s="74"/>
      <c r="B594" s="30"/>
      <c r="C594" s="30"/>
      <c r="D594" s="30"/>
      <c r="E594" s="30"/>
      <c r="M594" s="76"/>
    </row>
    <row r="595" spans="1:13" ht="12.75">
      <c r="A595" s="74"/>
      <c r="B595" s="30"/>
      <c r="C595" s="30"/>
      <c r="D595" s="30"/>
      <c r="E595" s="30"/>
      <c r="M595" s="76"/>
    </row>
    <row r="596" spans="1:13" ht="12.75">
      <c r="A596" s="74"/>
      <c r="B596" s="30"/>
      <c r="C596" s="30"/>
      <c r="D596" s="30"/>
      <c r="E596" s="30"/>
      <c r="M596" s="76"/>
    </row>
    <row r="597" spans="1:13" ht="12.75">
      <c r="A597" s="74"/>
      <c r="B597" s="30"/>
      <c r="C597" s="30"/>
      <c r="D597" s="30"/>
      <c r="E597" s="30"/>
      <c r="M597" s="76"/>
    </row>
    <row r="598" spans="1:13" ht="12.75">
      <c r="A598" s="74"/>
      <c r="B598" s="30"/>
      <c r="C598" s="30"/>
      <c r="D598" s="30"/>
      <c r="E598" s="30"/>
      <c r="M598" s="76"/>
    </row>
    <row r="599" spans="1:13" ht="12.75">
      <c r="A599" s="74"/>
      <c r="B599" s="30"/>
      <c r="C599" s="30"/>
      <c r="D599" s="30"/>
      <c r="E599" s="30"/>
      <c r="M599" s="76"/>
    </row>
    <row r="600" spans="1:13" ht="12.75">
      <c r="A600" s="74"/>
      <c r="B600" s="30"/>
      <c r="C600" s="30"/>
      <c r="D600" s="30"/>
      <c r="E600" s="30"/>
      <c r="M600" s="76"/>
    </row>
    <row r="601" spans="1:13" ht="12.75">
      <c r="A601" s="74"/>
      <c r="B601" s="30"/>
      <c r="C601" s="30"/>
      <c r="D601" s="30"/>
      <c r="E601" s="30"/>
      <c r="M601" s="76"/>
    </row>
    <row r="602" spans="1:13" ht="12.75">
      <c r="A602" s="74"/>
      <c r="B602" s="30"/>
      <c r="C602" s="30"/>
      <c r="D602" s="30"/>
      <c r="E602" s="30"/>
      <c r="M602" s="76"/>
    </row>
    <row r="603" spans="1:13" ht="12.75">
      <c r="A603" s="74"/>
      <c r="B603" s="30"/>
      <c r="C603" s="30"/>
      <c r="D603" s="30"/>
      <c r="E603" s="30"/>
      <c r="M603" s="76"/>
    </row>
    <row r="604" spans="1:13" ht="12.75">
      <c r="A604" s="74"/>
      <c r="B604" s="30"/>
      <c r="C604" s="30"/>
      <c r="D604" s="30"/>
      <c r="E604" s="30"/>
      <c r="M604" s="76"/>
    </row>
    <row r="605" spans="1:13" ht="12.75">
      <c r="A605" s="74"/>
      <c r="B605" s="30"/>
      <c r="C605" s="30"/>
      <c r="D605" s="30"/>
      <c r="E605" s="30"/>
      <c r="M605" s="76"/>
    </row>
    <row r="606" spans="1:13" ht="12.75">
      <c r="A606" s="74"/>
      <c r="B606" s="30"/>
      <c r="C606" s="30"/>
      <c r="D606" s="30"/>
      <c r="E606" s="30"/>
      <c r="M606" s="76"/>
    </row>
    <row r="607" spans="1:13" ht="12.75">
      <c r="A607" s="74"/>
      <c r="B607" s="30"/>
      <c r="C607" s="30"/>
      <c r="D607" s="30"/>
      <c r="E607" s="30"/>
      <c r="M607" s="76"/>
    </row>
    <row r="608" spans="1:13" ht="12.75">
      <c r="A608" s="74"/>
      <c r="B608" s="30"/>
      <c r="C608" s="30"/>
      <c r="D608" s="30"/>
      <c r="E608" s="30"/>
      <c r="M608" s="76"/>
    </row>
    <row r="609" spans="1:13" ht="12.75">
      <c r="A609" s="74"/>
      <c r="B609" s="30"/>
      <c r="C609" s="30"/>
      <c r="D609" s="30"/>
      <c r="E609" s="30"/>
      <c r="M609" s="76"/>
    </row>
    <row r="610" spans="1:13" ht="12.75">
      <c r="A610" s="74"/>
      <c r="B610" s="30"/>
      <c r="C610" s="30"/>
      <c r="D610" s="30"/>
      <c r="E610" s="30"/>
      <c r="M610" s="76"/>
    </row>
    <row r="611" spans="1:13" ht="12.75">
      <c r="A611" s="74"/>
      <c r="B611" s="30"/>
      <c r="C611" s="30"/>
      <c r="D611" s="30"/>
      <c r="E611" s="30"/>
      <c r="M611" s="76"/>
    </row>
    <row r="612" spans="1:13" ht="12.75">
      <c r="A612" s="74"/>
      <c r="B612" s="30"/>
      <c r="C612" s="30"/>
      <c r="D612" s="30"/>
      <c r="E612" s="30"/>
      <c r="M612" s="76"/>
    </row>
    <row r="613" spans="1:13" ht="12.75">
      <c r="A613" s="74"/>
      <c r="B613" s="30"/>
      <c r="C613" s="30"/>
      <c r="D613" s="30"/>
      <c r="E613" s="30"/>
      <c r="M613" s="76"/>
    </row>
    <row r="614" spans="1:13" ht="12.75">
      <c r="A614" s="74"/>
      <c r="B614" s="30"/>
      <c r="C614" s="30"/>
      <c r="D614" s="30"/>
      <c r="E614" s="30"/>
      <c r="M614" s="76"/>
    </row>
    <row r="615" spans="1:13" ht="12.75">
      <c r="A615" s="74"/>
      <c r="B615" s="30"/>
      <c r="C615" s="30"/>
      <c r="D615" s="30"/>
      <c r="E615" s="30"/>
      <c r="M615" s="76"/>
    </row>
    <row r="616" spans="1:13" ht="12.75">
      <c r="A616" s="74"/>
      <c r="B616" s="30"/>
      <c r="C616" s="30"/>
      <c r="D616" s="30"/>
      <c r="E616" s="30"/>
      <c r="M616" s="76"/>
    </row>
    <row r="617" spans="1:13" ht="12.75">
      <c r="A617" s="74"/>
      <c r="B617" s="30"/>
      <c r="C617" s="30"/>
      <c r="D617" s="30"/>
      <c r="E617" s="30"/>
      <c r="M617" s="76"/>
    </row>
    <row r="618" spans="1:13" ht="12.75">
      <c r="A618" s="74"/>
      <c r="B618" s="30"/>
      <c r="C618" s="30"/>
      <c r="D618" s="30"/>
      <c r="E618" s="30"/>
      <c r="M618" s="76"/>
    </row>
    <row r="619" spans="1:13" ht="12.75">
      <c r="A619" s="74"/>
      <c r="B619" s="30"/>
      <c r="C619" s="30"/>
      <c r="D619" s="30"/>
      <c r="E619" s="30"/>
      <c r="M619" s="76"/>
    </row>
    <row r="620" spans="1:13" ht="12.75">
      <c r="A620" s="74"/>
      <c r="B620" s="30"/>
      <c r="C620" s="30"/>
      <c r="D620" s="30"/>
      <c r="E620" s="30"/>
      <c r="M620" s="76"/>
    </row>
    <row r="621" spans="1:13" ht="12.75">
      <c r="A621" s="74"/>
      <c r="B621" s="30"/>
      <c r="C621" s="30"/>
      <c r="D621" s="30"/>
      <c r="E621" s="30"/>
      <c r="M621" s="76"/>
    </row>
    <row r="622" spans="1:13" ht="12.75">
      <c r="A622" s="74"/>
      <c r="B622" s="30"/>
      <c r="C622" s="30"/>
      <c r="D622" s="30"/>
      <c r="E622" s="30"/>
      <c r="M622" s="76"/>
    </row>
    <row r="623" spans="1:13" ht="12.75">
      <c r="A623" s="74"/>
      <c r="B623" s="30"/>
      <c r="C623" s="30"/>
      <c r="D623" s="30"/>
      <c r="E623" s="30"/>
      <c r="M623" s="76"/>
    </row>
    <row r="624" spans="1:13" ht="12.75">
      <c r="A624" s="74"/>
      <c r="B624" s="30"/>
      <c r="C624" s="30"/>
      <c r="D624" s="30"/>
      <c r="E624" s="30"/>
      <c r="M624" s="76"/>
    </row>
    <row r="625" spans="1:13" ht="12.75">
      <c r="A625" s="74"/>
      <c r="B625" s="30"/>
      <c r="C625" s="30"/>
      <c r="D625" s="30"/>
      <c r="E625" s="30"/>
      <c r="M625" s="76"/>
    </row>
    <row r="626" spans="1:13" ht="12.75">
      <c r="A626" s="74"/>
      <c r="B626" s="30"/>
      <c r="C626" s="30"/>
      <c r="D626" s="30"/>
      <c r="E626" s="30"/>
      <c r="M626" s="76"/>
    </row>
    <row r="627" spans="1:13" ht="12.75">
      <c r="A627" s="74"/>
      <c r="B627" s="30"/>
      <c r="C627" s="30"/>
      <c r="D627" s="30"/>
      <c r="E627" s="30"/>
      <c r="M627" s="76"/>
    </row>
    <row r="628" spans="1:13" ht="12.75">
      <c r="A628" s="74"/>
      <c r="B628" s="30"/>
      <c r="C628" s="30"/>
      <c r="D628" s="30"/>
      <c r="E628" s="30"/>
      <c r="M628" s="76"/>
    </row>
    <row r="629" spans="1:13" ht="12.75">
      <c r="A629" s="74"/>
      <c r="B629" s="30"/>
      <c r="C629" s="30"/>
      <c r="D629" s="30"/>
      <c r="E629" s="30"/>
      <c r="M629" s="76"/>
    </row>
    <row r="630" spans="1:13" ht="12.75">
      <c r="A630" s="74"/>
      <c r="B630" s="30"/>
      <c r="C630" s="30"/>
      <c r="D630" s="30"/>
      <c r="E630" s="30"/>
      <c r="M630" s="76"/>
    </row>
    <row r="631" spans="1:13" ht="12.75">
      <c r="A631" s="74"/>
      <c r="B631" s="30"/>
      <c r="C631" s="30"/>
      <c r="D631" s="30"/>
      <c r="E631" s="30"/>
      <c r="M631" s="76"/>
    </row>
    <row r="632" spans="1:13" ht="12.75">
      <c r="A632" s="74"/>
      <c r="B632" s="30"/>
      <c r="C632" s="30"/>
      <c r="D632" s="30"/>
      <c r="E632" s="30"/>
      <c r="M632" s="76"/>
    </row>
    <row r="633" spans="1:13" ht="12.75">
      <c r="A633" s="74"/>
      <c r="B633" s="30"/>
      <c r="C633" s="30"/>
      <c r="D633" s="30"/>
      <c r="E633" s="30"/>
      <c r="M633" s="76"/>
    </row>
    <row r="634" spans="1:13" ht="12.75">
      <c r="A634" s="74"/>
      <c r="B634" s="30"/>
      <c r="C634" s="30"/>
      <c r="D634" s="30"/>
      <c r="E634" s="30"/>
      <c r="M634" s="76"/>
    </row>
    <row r="635" spans="1:13" ht="12.75">
      <c r="A635" s="74"/>
      <c r="B635" s="30"/>
      <c r="C635" s="30"/>
      <c r="D635" s="30"/>
      <c r="E635" s="30"/>
      <c r="M635" s="76"/>
    </row>
    <row r="636" spans="1:13" ht="12.75">
      <c r="A636" s="74"/>
      <c r="B636" s="30"/>
      <c r="C636" s="30"/>
      <c r="D636" s="30"/>
      <c r="E636" s="30"/>
      <c r="M636" s="76"/>
    </row>
    <row r="637" spans="1:13" ht="12.75">
      <c r="A637" s="74"/>
      <c r="B637" s="30"/>
      <c r="C637" s="30"/>
      <c r="D637" s="30"/>
      <c r="E637" s="30"/>
      <c r="M637" s="76"/>
    </row>
    <row r="638" spans="1:13" ht="12.75">
      <c r="A638" s="74"/>
      <c r="B638" s="30"/>
      <c r="C638" s="30"/>
      <c r="D638" s="30"/>
      <c r="E638" s="30"/>
      <c r="M638" s="76"/>
    </row>
    <row r="639" spans="1:13" ht="12.75">
      <c r="A639" s="74"/>
      <c r="B639" s="30"/>
      <c r="C639" s="30"/>
      <c r="D639" s="30"/>
      <c r="E639" s="30"/>
      <c r="M639" s="76"/>
    </row>
    <row r="640" spans="1:13" ht="12.75">
      <c r="A640" s="74"/>
      <c r="B640" s="30"/>
      <c r="C640" s="30"/>
      <c r="D640" s="30"/>
      <c r="E640" s="30"/>
      <c r="M640" s="76"/>
    </row>
    <row r="641" spans="1:13" ht="12.75">
      <c r="A641" s="74"/>
      <c r="B641" s="30"/>
      <c r="C641" s="30"/>
      <c r="D641" s="30"/>
      <c r="E641" s="30"/>
      <c r="M641" s="76"/>
    </row>
    <row r="642" spans="1:13" ht="12.75">
      <c r="A642" s="74"/>
      <c r="B642" s="30"/>
      <c r="C642" s="30"/>
      <c r="D642" s="30"/>
      <c r="E642" s="30"/>
      <c r="M642" s="76"/>
    </row>
    <row r="643" spans="1:13" ht="12.75">
      <c r="A643" s="74"/>
      <c r="B643" s="30"/>
      <c r="C643" s="30"/>
      <c r="D643" s="30"/>
      <c r="E643" s="30"/>
      <c r="M643" s="76"/>
    </row>
    <row r="644" spans="1:13" ht="12.75">
      <c r="A644" s="74"/>
      <c r="B644" s="30"/>
      <c r="C644" s="30"/>
      <c r="D644" s="30"/>
      <c r="E644" s="30"/>
      <c r="M644" s="76"/>
    </row>
    <row r="645" spans="1:13" ht="12.75">
      <c r="A645" s="74"/>
      <c r="B645" s="30"/>
      <c r="C645" s="30"/>
      <c r="D645" s="30"/>
      <c r="E645" s="30"/>
      <c r="M645" s="76"/>
    </row>
    <row r="646" spans="1:13" ht="12.75">
      <c r="A646" s="74"/>
      <c r="B646" s="30"/>
      <c r="C646" s="30"/>
      <c r="D646" s="30"/>
      <c r="E646" s="30"/>
      <c r="M646" s="76"/>
    </row>
    <row r="647" spans="1:13" ht="12.75">
      <c r="A647" s="74"/>
      <c r="B647" s="30"/>
      <c r="C647" s="30"/>
      <c r="D647" s="30"/>
      <c r="E647" s="30"/>
      <c r="M647" s="76"/>
    </row>
    <row r="648" spans="1:13" ht="12.75">
      <c r="A648" s="74"/>
      <c r="B648" s="30"/>
      <c r="C648" s="30"/>
      <c r="D648" s="30"/>
      <c r="E648" s="30"/>
      <c r="M648" s="76"/>
    </row>
    <row r="649" spans="1:13" ht="12.75">
      <c r="A649" s="74"/>
      <c r="B649" s="30"/>
      <c r="C649" s="30"/>
      <c r="D649" s="30"/>
      <c r="E649" s="30"/>
      <c r="M649" s="76"/>
    </row>
    <row r="650" spans="1:13" ht="12.75">
      <c r="A650" s="74"/>
      <c r="B650" s="30"/>
      <c r="C650" s="30"/>
      <c r="D650" s="30"/>
      <c r="E650" s="30"/>
      <c r="M650" s="76"/>
    </row>
    <row r="651" spans="1:13" ht="12.75">
      <c r="A651" s="74"/>
      <c r="B651" s="30"/>
      <c r="C651" s="30"/>
      <c r="D651" s="30"/>
      <c r="E651" s="30"/>
      <c r="M651" s="76"/>
    </row>
    <row r="652" spans="1:13" ht="12.75">
      <c r="A652" s="74"/>
      <c r="B652" s="30"/>
      <c r="C652" s="30"/>
      <c r="D652" s="30"/>
      <c r="E652" s="30"/>
      <c r="M652" s="76"/>
    </row>
    <row r="653" spans="1:13" ht="12.75">
      <c r="A653" s="74"/>
      <c r="B653" s="30"/>
      <c r="C653" s="30"/>
      <c r="D653" s="30"/>
      <c r="E653" s="30"/>
      <c r="M653" s="76"/>
    </row>
    <row r="654" spans="1:13" ht="12.75">
      <c r="A654" s="74"/>
      <c r="B654" s="30"/>
      <c r="C654" s="30"/>
      <c r="D654" s="30"/>
      <c r="E654" s="30"/>
      <c r="M654" s="76"/>
    </row>
    <row r="655" spans="1:13" ht="12.75">
      <c r="A655" s="74"/>
      <c r="B655" s="30"/>
      <c r="C655" s="30"/>
      <c r="D655" s="30"/>
      <c r="E655" s="30"/>
      <c r="M655" s="76"/>
    </row>
    <row r="656" spans="1:13" ht="12.75">
      <c r="A656" s="74"/>
      <c r="B656" s="30"/>
      <c r="C656" s="30"/>
      <c r="D656" s="30"/>
      <c r="E656" s="30"/>
      <c r="M656" s="76"/>
    </row>
    <row r="657" spans="1:13" ht="12.75">
      <c r="A657" s="74"/>
      <c r="B657" s="30"/>
      <c r="C657" s="30"/>
      <c r="D657" s="30"/>
      <c r="E657" s="30"/>
      <c r="M657" s="76"/>
    </row>
    <row r="658" spans="1:13" ht="12.75">
      <c r="A658" s="74"/>
      <c r="B658" s="30"/>
      <c r="C658" s="30"/>
      <c r="D658" s="30"/>
      <c r="E658" s="30"/>
      <c r="M658" s="76"/>
    </row>
    <row r="659" spans="1:13" ht="12.75">
      <c r="A659" s="74"/>
      <c r="B659" s="30"/>
      <c r="C659" s="30"/>
      <c r="D659" s="30"/>
      <c r="E659" s="30"/>
      <c r="M659" s="76"/>
    </row>
    <row r="660" spans="1:13" ht="12.75">
      <c r="A660" s="74"/>
      <c r="B660" s="30"/>
      <c r="C660" s="30"/>
      <c r="D660" s="30"/>
      <c r="E660" s="30"/>
      <c r="M660" s="76"/>
    </row>
    <row r="661" spans="1:13" ht="12.75">
      <c r="A661" s="74"/>
      <c r="B661" s="30"/>
      <c r="C661" s="30"/>
      <c r="D661" s="30"/>
      <c r="E661" s="30"/>
      <c r="M661" s="76"/>
    </row>
    <row r="662" spans="1:13" ht="12.75">
      <c r="A662" s="74"/>
      <c r="B662" s="30"/>
      <c r="C662" s="30"/>
      <c r="D662" s="30"/>
      <c r="E662" s="30"/>
      <c r="M662" s="76"/>
    </row>
    <row r="663" spans="1:13" ht="12.75">
      <c r="A663" s="74"/>
      <c r="B663" s="30"/>
      <c r="C663" s="30"/>
      <c r="D663" s="30"/>
      <c r="E663" s="30"/>
      <c r="M663" s="76"/>
    </row>
    <row r="664" spans="1:13" ht="12.75">
      <c r="A664" s="74"/>
      <c r="B664" s="30"/>
      <c r="C664" s="30"/>
      <c r="D664" s="30"/>
      <c r="E664" s="30"/>
      <c r="M664" s="76"/>
    </row>
    <row r="665" spans="1:13" ht="12.75">
      <c r="A665" s="74"/>
      <c r="B665" s="30"/>
      <c r="C665" s="30"/>
      <c r="D665" s="30"/>
      <c r="E665" s="30"/>
      <c r="M665" s="76"/>
    </row>
    <row r="666" spans="1:13" ht="12.75">
      <c r="A666" s="74"/>
      <c r="B666" s="30"/>
      <c r="C666" s="30"/>
      <c r="D666" s="30"/>
      <c r="E666" s="30"/>
      <c r="M666" s="76"/>
    </row>
    <row r="667" spans="1:13" ht="12.75">
      <c r="A667" s="74"/>
      <c r="B667" s="30"/>
      <c r="C667" s="30"/>
      <c r="D667" s="30"/>
      <c r="E667" s="30"/>
      <c r="M667" s="76"/>
    </row>
    <row r="668" spans="1:13" ht="12.75">
      <c r="A668" s="74"/>
      <c r="B668" s="30"/>
      <c r="C668" s="30"/>
      <c r="D668" s="30"/>
      <c r="E668" s="30"/>
      <c r="M668" s="76"/>
    </row>
    <row r="669" spans="1:13" ht="12.75">
      <c r="A669" s="74"/>
      <c r="B669" s="30"/>
      <c r="C669" s="30"/>
      <c r="D669" s="30"/>
      <c r="E669" s="30"/>
      <c r="M669" s="76"/>
    </row>
    <row r="670" spans="1:13" ht="12.75">
      <c r="A670" s="74"/>
      <c r="B670" s="30"/>
      <c r="C670" s="30"/>
      <c r="D670" s="30"/>
      <c r="E670" s="30"/>
      <c r="M670" s="76"/>
    </row>
    <row r="671" spans="1:13" ht="12.75">
      <c r="A671" s="74"/>
      <c r="B671" s="30"/>
      <c r="C671" s="30"/>
      <c r="D671" s="30"/>
      <c r="E671" s="30"/>
      <c r="M671" s="76"/>
    </row>
    <row r="672" spans="1:13" ht="12.75">
      <c r="A672" s="74"/>
      <c r="B672" s="30"/>
      <c r="C672" s="30"/>
      <c r="D672" s="30"/>
      <c r="E672" s="30"/>
      <c r="M672" s="76"/>
    </row>
    <row r="673" spans="1:13" ht="12.75">
      <c r="A673" s="74"/>
      <c r="B673" s="30"/>
      <c r="C673" s="30"/>
      <c r="D673" s="30"/>
      <c r="E673" s="30"/>
      <c r="M673" s="76"/>
    </row>
    <row r="674" spans="1:13" ht="12.75">
      <c r="A674" s="74"/>
      <c r="B674" s="30"/>
      <c r="C674" s="30"/>
      <c r="D674" s="30"/>
      <c r="E674" s="30"/>
      <c r="M674" s="76"/>
    </row>
    <row r="675" spans="1:13" ht="12.75">
      <c r="A675" s="74"/>
      <c r="B675" s="30"/>
      <c r="C675" s="30"/>
      <c r="D675" s="30"/>
      <c r="E675" s="30"/>
      <c r="M675" s="76"/>
    </row>
    <row r="676" spans="1:13" ht="12.75">
      <c r="A676" s="74"/>
      <c r="B676" s="30"/>
      <c r="C676" s="30"/>
      <c r="D676" s="30"/>
      <c r="E676" s="30"/>
      <c r="M676" s="76"/>
    </row>
    <row r="677" spans="1:13" ht="12.75">
      <c r="A677" s="74"/>
      <c r="B677" s="30"/>
      <c r="C677" s="30"/>
      <c r="D677" s="30"/>
      <c r="E677" s="30"/>
      <c r="M677" s="76"/>
    </row>
    <row r="678" spans="1:13" ht="12.75">
      <c r="A678" s="74"/>
      <c r="B678" s="30"/>
      <c r="C678" s="30"/>
      <c r="D678" s="30"/>
      <c r="E678" s="30"/>
      <c r="M678" s="76"/>
    </row>
    <row r="679" spans="1:13" ht="12.75">
      <c r="A679" s="74"/>
      <c r="B679" s="30"/>
      <c r="C679" s="30"/>
      <c r="D679" s="30"/>
      <c r="E679" s="30"/>
      <c r="M679" s="76"/>
    </row>
    <row r="680" spans="1:13" ht="12.75">
      <c r="A680" s="74"/>
      <c r="B680" s="30"/>
      <c r="C680" s="30"/>
      <c r="D680" s="30"/>
      <c r="E680" s="30"/>
      <c r="M680" s="76"/>
    </row>
    <row r="681" spans="1:13" ht="12.75">
      <c r="A681" s="74"/>
      <c r="B681" s="30"/>
      <c r="C681" s="30"/>
      <c r="D681" s="30"/>
      <c r="E681" s="30"/>
      <c r="M681" s="76"/>
    </row>
    <row r="682" spans="1:13" ht="12.75">
      <c r="A682" s="74"/>
      <c r="B682" s="30"/>
      <c r="C682" s="30"/>
      <c r="D682" s="30"/>
      <c r="E682" s="30"/>
      <c r="M682" s="76"/>
    </row>
    <row r="683" spans="1:13" ht="12.75">
      <c r="A683" s="74"/>
      <c r="B683" s="30"/>
      <c r="C683" s="30"/>
      <c r="D683" s="30"/>
      <c r="E683" s="30"/>
      <c r="M683" s="76"/>
    </row>
    <row r="684" spans="1:13" ht="12.75">
      <c r="A684" s="74"/>
      <c r="B684" s="30"/>
      <c r="C684" s="30"/>
      <c r="D684" s="30"/>
      <c r="E684" s="30"/>
      <c r="M684" s="76"/>
    </row>
    <row r="685" spans="1:13" ht="12.75">
      <c r="A685" s="74"/>
      <c r="B685" s="30"/>
      <c r="C685" s="30"/>
      <c r="D685" s="30"/>
      <c r="E685" s="30"/>
      <c r="M685" s="76"/>
    </row>
    <row r="686" spans="1:13" ht="12.75">
      <c r="A686" s="74"/>
      <c r="B686" s="30"/>
      <c r="C686" s="30"/>
      <c r="D686" s="30"/>
      <c r="E686" s="30"/>
      <c r="M686" s="76"/>
    </row>
    <row r="687" spans="1:13" ht="12.75">
      <c r="A687" s="74"/>
      <c r="B687" s="30"/>
      <c r="C687" s="30"/>
      <c r="D687" s="30"/>
      <c r="E687" s="30"/>
      <c r="M687" s="76"/>
    </row>
    <row r="688" spans="1:13" ht="12.75">
      <c r="A688" s="74"/>
      <c r="B688" s="30"/>
      <c r="C688" s="30"/>
      <c r="D688" s="30"/>
      <c r="E688" s="30"/>
      <c r="M688" s="76"/>
    </row>
    <row r="689" spans="1:13" ht="12.75">
      <c r="A689" s="74"/>
      <c r="B689" s="30"/>
      <c r="C689" s="30"/>
      <c r="D689" s="30"/>
      <c r="E689" s="30"/>
      <c r="M689" s="76"/>
    </row>
    <row r="690" spans="1:13" ht="12.75">
      <c r="A690" s="74"/>
      <c r="B690" s="30"/>
      <c r="C690" s="30"/>
      <c r="D690" s="30"/>
      <c r="E690" s="30"/>
      <c r="M690" s="76"/>
    </row>
    <row r="691" spans="1:13" ht="12.75">
      <c r="A691" s="74"/>
      <c r="B691" s="30"/>
      <c r="C691" s="30"/>
      <c r="D691" s="30"/>
      <c r="E691" s="30"/>
      <c r="M691" s="76"/>
    </row>
    <row r="692" spans="1:13" ht="12.75">
      <c r="A692" s="74"/>
      <c r="B692" s="30"/>
      <c r="C692" s="30"/>
      <c r="D692" s="30"/>
      <c r="E692" s="30"/>
      <c r="M692" s="76"/>
    </row>
    <row r="693" spans="1:13" ht="12.75">
      <c r="A693" s="74"/>
      <c r="B693" s="30"/>
      <c r="C693" s="30"/>
      <c r="D693" s="30"/>
      <c r="E693" s="30"/>
      <c r="M693" s="76"/>
    </row>
    <row r="694" spans="1:13" ht="12.75">
      <c r="A694" s="74"/>
      <c r="B694" s="30"/>
      <c r="C694" s="30"/>
      <c r="D694" s="30"/>
      <c r="E694" s="30"/>
      <c r="M694" s="76"/>
    </row>
    <row r="695" spans="1:13" ht="12.75">
      <c r="A695" s="74"/>
      <c r="B695" s="30"/>
      <c r="C695" s="30"/>
      <c r="D695" s="30"/>
      <c r="E695" s="30"/>
      <c r="M695" s="76"/>
    </row>
    <row r="696" spans="1:13" ht="12.75">
      <c r="A696" s="74"/>
      <c r="B696" s="30"/>
      <c r="C696" s="30"/>
      <c r="D696" s="30"/>
      <c r="E696" s="30"/>
      <c r="M696" s="76"/>
    </row>
    <row r="697" spans="1:13" ht="12.75">
      <c r="A697" s="74"/>
      <c r="B697" s="30"/>
      <c r="C697" s="30"/>
      <c r="D697" s="30"/>
      <c r="E697" s="30"/>
      <c r="M697" s="76"/>
    </row>
    <row r="698" spans="1:13" ht="12.75">
      <c r="A698" s="74"/>
      <c r="B698" s="30"/>
      <c r="C698" s="30"/>
      <c r="D698" s="30"/>
      <c r="E698" s="30"/>
      <c r="M698" s="76"/>
    </row>
    <row r="699" spans="1:13" ht="12.75">
      <c r="A699" s="74"/>
      <c r="B699" s="30"/>
      <c r="C699" s="30"/>
      <c r="D699" s="30"/>
      <c r="E699" s="30"/>
      <c r="M699" s="76"/>
    </row>
    <row r="700" spans="1:13" ht="12.75">
      <c r="A700" s="74"/>
      <c r="B700" s="30"/>
      <c r="C700" s="30"/>
      <c r="D700" s="30"/>
      <c r="E700" s="30"/>
      <c r="M700" s="76"/>
    </row>
    <row r="701" spans="1:13" ht="12.75">
      <c r="A701" s="74"/>
      <c r="B701" s="30"/>
      <c r="C701" s="30"/>
      <c r="D701" s="30"/>
      <c r="E701" s="30"/>
      <c r="M701" s="76"/>
    </row>
    <row r="702" spans="1:13" ht="12.75">
      <c r="A702" s="74"/>
      <c r="B702" s="30"/>
      <c r="C702" s="30"/>
      <c r="D702" s="30"/>
      <c r="E702" s="30"/>
      <c r="M702" s="76"/>
    </row>
    <row r="703" spans="1:13" ht="12.75">
      <c r="A703" s="74"/>
      <c r="B703" s="30"/>
      <c r="C703" s="30"/>
      <c r="D703" s="30"/>
      <c r="E703" s="30"/>
      <c r="M703" s="76"/>
    </row>
    <row r="704" spans="1:13" ht="12.75">
      <c r="A704" s="74"/>
      <c r="B704" s="30"/>
      <c r="C704" s="30"/>
      <c r="D704" s="30"/>
      <c r="E704" s="30"/>
      <c r="M704" s="76"/>
    </row>
    <row r="705" spans="1:13" ht="12.75">
      <c r="A705" s="74"/>
      <c r="B705" s="30"/>
      <c r="C705" s="30"/>
      <c r="D705" s="30"/>
      <c r="E705" s="30"/>
      <c r="M705" s="76"/>
    </row>
    <row r="706" spans="1:13" ht="12.75">
      <c r="A706" s="74"/>
      <c r="B706" s="30"/>
      <c r="C706" s="30"/>
      <c r="D706" s="30"/>
      <c r="E706" s="30"/>
      <c r="M706" s="76"/>
    </row>
    <row r="707" spans="1:13" ht="12.75">
      <c r="A707" s="74"/>
      <c r="B707" s="30"/>
      <c r="C707" s="30"/>
      <c r="D707" s="30"/>
      <c r="E707" s="30"/>
      <c r="M707" s="76"/>
    </row>
    <row r="708" spans="1:13" ht="12.75">
      <c r="A708" s="74"/>
      <c r="B708" s="30"/>
      <c r="C708" s="30"/>
      <c r="D708" s="30"/>
      <c r="E708" s="30"/>
      <c r="M708" s="76"/>
    </row>
    <row r="709" spans="1:13" ht="12.75">
      <c r="A709" s="74"/>
      <c r="B709" s="30"/>
      <c r="C709" s="30"/>
      <c r="D709" s="30"/>
      <c r="E709" s="30"/>
      <c r="M709" s="76"/>
    </row>
    <row r="710" spans="1:13" ht="12.75">
      <c r="A710" s="74"/>
      <c r="B710" s="30"/>
      <c r="C710" s="30"/>
      <c r="D710" s="30"/>
      <c r="E710" s="30"/>
      <c r="M710" s="76"/>
    </row>
    <row r="711" spans="1:13" ht="12.75">
      <c r="A711" s="74"/>
      <c r="B711" s="30"/>
      <c r="C711" s="30"/>
      <c r="D711" s="30"/>
      <c r="E711" s="30"/>
      <c r="M711" s="76"/>
    </row>
    <row r="712" spans="1:13" ht="12.75">
      <c r="A712" s="74"/>
      <c r="B712" s="30"/>
      <c r="C712" s="30"/>
      <c r="D712" s="30"/>
      <c r="E712" s="30"/>
      <c r="M712" s="76"/>
    </row>
    <row r="713" spans="1:13" ht="12.75">
      <c r="A713" s="74"/>
      <c r="B713" s="30"/>
      <c r="C713" s="30"/>
      <c r="D713" s="30"/>
      <c r="E713" s="30"/>
      <c r="M713" s="76"/>
    </row>
    <row r="714" spans="1:13" ht="12.75">
      <c r="A714" s="74"/>
      <c r="B714" s="30"/>
      <c r="C714" s="30"/>
      <c r="D714" s="30"/>
      <c r="E714" s="30"/>
      <c r="M714" s="76"/>
    </row>
    <row r="715" spans="1:13" ht="12.75">
      <c r="A715" s="74"/>
      <c r="B715" s="30"/>
      <c r="C715" s="30"/>
      <c r="D715" s="30"/>
      <c r="E715" s="30"/>
      <c r="M715" s="76"/>
    </row>
    <row r="716" spans="1:13" ht="12.75">
      <c r="A716" s="74"/>
      <c r="B716" s="30"/>
      <c r="C716" s="30"/>
      <c r="D716" s="30"/>
      <c r="E716" s="30"/>
      <c r="M716" s="76"/>
    </row>
    <row r="717" spans="1:13" ht="12.75">
      <c r="A717" s="74"/>
      <c r="B717" s="30"/>
      <c r="C717" s="30"/>
      <c r="D717" s="30"/>
      <c r="E717" s="30"/>
      <c r="M717" s="76"/>
    </row>
    <row r="718" spans="1:13" ht="12.75">
      <c r="A718" s="74"/>
      <c r="B718" s="30"/>
      <c r="C718" s="30"/>
      <c r="D718" s="30"/>
      <c r="E718" s="30"/>
      <c r="M718" s="76"/>
    </row>
    <row r="719" spans="1:13" ht="12.75">
      <c r="A719" s="74"/>
      <c r="B719" s="30"/>
      <c r="C719" s="30"/>
      <c r="D719" s="30"/>
      <c r="E719" s="30"/>
      <c r="M719" s="76"/>
    </row>
    <row r="720" spans="1:13" ht="12.75">
      <c r="A720" s="74"/>
      <c r="B720" s="30"/>
      <c r="C720" s="30"/>
      <c r="D720" s="30"/>
      <c r="E720" s="30"/>
      <c r="M720" s="76"/>
    </row>
    <row r="721" spans="1:13" ht="12.75">
      <c r="A721" s="74"/>
      <c r="B721" s="30"/>
      <c r="C721" s="30"/>
      <c r="D721" s="30"/>
      <c r="E721" s="30"/>
      <c r="M721" s="76"/>
    </row>
    <row r="722" spans="1:13" ht="12.75">
      <c r="A722" s="74"/>
      <c r="B722" s="30"/>
      <c r="C722" s="30"/>
      <c r="D722" s="30"/>
      <c r="E722" s="30"/>
      <c r="M722" s="76"/>
    </row>
    <row r="723" spans="1:13" ht="12.75">
      <c r="A723" s="74"/>
      <c r="B723" s="30"/>
      <c r="C723" s="30"/>
      <c r="D723" s="30"/>
      <c r="E723" s="30"/>
      <c r="M723" s="76"/>
    </row>
    <row r="724" spans="1:13" ht="12.75">
      <c r="A724" s="74"/>
      <c r="B724" s="30"/>
      <c r="C724" s="30"/>
      <c r="D724" s="30"/>
      <c r="E724" s="30"/>
      <c r="M724" s="76"/>
    </row>
    <row r="725" spans="1:13" ht="12.75">
      <c r="A725" s="74"/>
      <c r="B725" s="30"/>
      <c r="C725" s="30"/>
      <c r="D725" s="30"/>
      <c r="E725" s="30"/>
      <c r="M725" s="76"/>
    </row>
    <row r="726" spans="1:13" ht="12.75">
      <c r="A726" s="74"/>
      <c r="B726" s="30"/>
      <c r="C726" s="30"/>
      <c r="D726" s="30"/>
      <c r="E726" s="30"/>
      <c r="M726" s="76"/>
    </row>
    <row r="727" spans="1:13" ht="12.75">
      <c r="A727" s="74"/>
      <c r="B727" s="30"/>
      <c r="C727" s="30"/>
      <c r="D727" s="30"/>
      <c r="E727" s="30"/>
      <c r="M727" s="76"/>
    </row>
    <row r="728" spans="1:13" ht="12.75">
      <c r="A728" s="74"/>
      <c r="B728" s="30"/>
      <c r="C728" s="30"/>
      <c r="D728" s="30"/>
      <c r="E728" s="30"/>
      <c r="M728" s="76"/>
    </row>
    <row r="729" spans="1:13" ht="12.75">
      <c r="A729" s="74"/>
      <c r="B729" s="30"/>
      <c r="C729" s="30"/>
      <c r="D729" s="30"/>
      <c r="E729" s="30"/>
      <c r="M729" s="76"/>
    </row>
    <row r="730" spans="1:13" ht="12.75">
      <c r="A730" s="74"/>
      <c r="B730" s="30"/>
      <c r="C730" s="30"/>
      <c r="D730" s="30"/>
      <c r="E730" s="30"/>
      <c r="M730" s="76"/>
    </row>
    <row r="731" spans="1:13" ht="12.75">
      <c r="A731" s="74"/>
      <c r="B731" s="30"/>
      <c r="C731" s="30"/>
      <c r="D731" s="30"/>
      <c r="E731" s="30"/>
      <c r="M731" s="76"/>
    </row>
    <row r="732" spans="1:13" ht="12.75">
      <c r="A732" s="74"/>
      <c r="B732" s="30"/>
      <c r="C732" s="30"/>
      <c r="D732" s="30"/>
      <c r="E732" s="30"/>
      <c r="M732" s="76"/>
    </row>
    <row r="733" spans="1:13" ht="12.75">
      <c r="A733" s="74"/>
      <c r="B733" s="30"/>
      <c r="C733" s="30"/>
      <c r="D733" s="30"/>
      <c r="E733" s="30"/>
      <c r="M733" s="76"/>
    </row>
    <row r="734" spans="1:13" ht="12.75">
      <c r="A734" s="74"/>
      <c r="B734" s="30"/>
      <c r="C734" s="30"/>
      <c r="D734" s="30"/>
      <c r="E734" s="30"/>
      <c r="M734" s="76"/>
    </row>
    <row r="735" spans="1:13" ht="12.75">
      <c r="A735" s="74"/>
      <c r="B735" s="30"/>
      <c r="C735" s="30"/>
      <c r="D735" s="30"/>
      <c r="E735" s="30"/>
      <c r="M735" s="76"/>
    </row>
    <row r="736" spans="1:13" ht="12.75">
      <c r="A736" s="74"/>
      <c r="B736" s="30"/>
      <c r="C736" s="30"/>
      <c r="D736" s="30"/>
      <c r="E736" s="30"/>
      <c r="M736" s="76"/>
    </row>
    <row r="737" spans="1:13" ht="12.75">
      <c r="A737" s="74"/>
      <c r="B737" s="30"/>
      <c r="C737" s="30"/>
      <c r="D737" s="30"/>
      <c r="E737" s="30"/>
      <c r="M737" s="76"/>
    </row>
    <row r="738" spans="1:13" ht="12.75">
      <c r="A738" s="74"/>
      <c r="B738" s="30"/>
      <c r="C738" s="30"/>
      <c r="D738" s="30"/>
      <c r="E738" s="30"/>
      <c r="M738" s="76"/>
    </row>
    <row r="739" spans="1:13" ht="12.75">
      <c r="A739" s="74"/>
      <c r="B739" s="30"/>
      <c r="C739" s="30"/>
      <c r="D739" s="30"/>
      <c r="E739" s="30"/>
      <c r="M739" s="76"/>
    </row>
    <row r="740" spans="1:13" ht="12.75">
      <c r="A740" s="74"/>
      <c r="B740" s="30"/>
      <c r="C740" s="30"/>
      <c r="D740" s="30"/>
      <c r="E740" s="30"/>
      <c r="M740" s="76"/>
    </row>
    <row r="741" spans="1:13" ht="12.75">
      <c r="A741" s="74"/>
      <c r="B741" s="30"/>
      <c r="C741" s="30"/>
      <c r="D741" s="30"/>
      <c r="E741" s="30"/>
      <c r="M741" s="76"/>
    </row>
    <row r="742" spans="1:13" ht="12.75">
      <c r="A742" s="74"/>
      <c r="B742" s="30"/>
      <c r="C742" s="30"/>
      <c r="D742" s="30"/>
      <c r="E742" s="30"/>
      <c r="M742" s="76"/>
    </row>
    <row r="743" spans="1:13" ht="12.75">
      <c r="A743" s="74"/>
      <c r="B743" s="30"/>
      <c r="C743" s="30"/>
      <c r="D743" s="30"/>
      <c r="E743" s="30"/>
      <c r="M743" s="76"/>
    </row>
    <row r="744" spans="1:13" ht="12.75">
      <c r="A744" s="74"/>
      <c r="B744" s="30"/>
      <c r="C744" s="30"/>
      <c r="D744" s="30"/>
      <c r="E744" s="30"/>
      <c r="M744" s="76"/>
    </row>
    <row r="745" spans="1:13" ht="12.75">
      <c r="A745" s="74"/>
      <c r="B745" s="30"/>
      <c r="C745" s="30"/>
      <c r="D745" s="30"/>
      <c r="E745" s="30"/>
      <c r="M745" s="76"/>
    </row>
    <row r="746" spans="1:13" ht="12.75">
      <c r="A746" s="74"/>
      <c r="B746" s="30"/>
      <c r="C746" s="30"/>
      <c r="D746" s="30"/>
      <c r="E746" s="30"/>
      <c r="M746" s="76"/>
    </row>
    <row r="747" spans="1:13" ht="12.75">
      <c r="A747" s="74"/>
      <c r="B747" s="30"/>
      <c r="C747" s="30"/>
      <c r="D747" s="30"/>
      <c r="E747" s="30"/>
      <c r="M747" s="76"/>
    </row>
    <row r="748" spans="1:13" ht="12.75">
      <c r="A748" s="74"/>
      <c r="B748" s="30"/>
      <c r="C748" s="30"/>
      <c r="D748" s="30"/>
      <c r="E748" s="30"/>
      <c r="M748" s="76"/>
    </row>
    <row r="749" spans="1:13" ht="12.75">
      <c r="A749" s="74"/>
      <c r="B749" s="30"/>
      <c r="C749" s="30"/>
      <c r="D749" s="30"/>
      <c r="E749" s="30"/>
      <c r="M749" s="76"/>
    </row>
    <row r="750" spans="1:13" ht="12.75">
      <c r="A750" s="74"/>
      <c r="B750" s="30"/>
      <c r="C750" s="30"/>
      <c r="D750" s="30"/>
      <c r="E750" s="30"/>
      <c r="M750" s="76"/>
    </row>
    <row r="751" spans="1:13" ht="12.75">
      <c r="A751" s="74"/>
      <c r="B751" s="30"/>
      <c r="C751" s="30"/>
      <c r="D751" s="30"/>
      <c r="E751" s="30"/>
      <c r="M751" s="76"/>
    </row>
    <row r="752" spans="1:13" ht="12.75">
      <c r="A752" s="74"/>
      <c r="B752" s="30"/>
      <c r="C752" s="30"/>
      <c r="D752" s="30"/>
      <c r="E752" s="30"/>
      <c r="M752" s="76"/>
    </row>
    <row r="753" spans="1:13" ht="12.75">
      <c r="A753" s="74"/>
      <c r="B753" s="30"/>
      <c r="C753" s="30"/>
      <c r="D753" s="30"/>
      <c r="E753" s="30"/>
      <c r="M753" s="76"/>
    </row>
    <row r="754" spans="1:13" ht="12.75">
      <c r="A754" s="74"/>
      <c r="B754" s="30"/>
      <c r="C754" s="30"/>
      <c r="D754" s="30"/>
      <c r="E754" s="30"/>
      <c r="M754" s="76"/>
    </row>
    <row r="755" spans="1:13" ht="12.75">
      <c r="A755" s="74"/>
      <c r="B755" s="30"/>
      <c r="C755" s="30"/>
      <c r="D755" s="30"/>
      <c r="E755" s="30"/>
      <c r="M755" s="76"/>
    </row>
    <row r="756" spans="1:13" ht="12.75">
      <c r="A756" s="74"/>
      <c r="B756" s="30"/>
      <c r="C756" s="30"/>
      <c r="D756" s="30"/>
      <c r="E756" s="30"/>
      <c r="M756" s="76"/>
    </row>
    <row r="757" spans="1:13" ht="12.75">
      <c r="A757" s="74"/>
      <c r="B757" s="30"/>
      <c r="C757" s="30"/>
      <c r="D757" s="30"/>
      <c r="E757" s="30"/>
      <c r="M757" s="76"/>
    </row>
    <row r="758" spans="1:13" ht="12.75">
      <c r="A758" s="74"/>
      <c r="B758" s="30"/>
      <c r="C758" s="30"/>
      <c r="D758" s="30"/>
      <c r="E758" s="30"/>
      <c r="M758" s="76"/>
    </row>
    <row r="759" spans="1:13" ht="12.75">
      <c r="A759" s="74"/>
      <c r="B759" s="30"/>
      <c r="C759" s="30"/>
      <c r="D759" s="30"/>
      <c r="E759" s="30"/>
      <c r="M759" s="76"/>
    </row>
    <row r="760" spans="1:13" ht="12.75">
      <c r="A760" s="74"/>
      <c r="B760" s="30"/>
      <c r="C760" s="30"/>
      <c r="D760" s="30"/>
      <c r="E760" s="30"/>
      <c r="M760" s="76"/>
    </row>
    <row r="761" spans="1:13" ht="12.75">
      <c r="A761" s="74"/>
      <c r="B761" s="30"/>
      <c r="C761" s="30"/>
      <c r="D761" s="30"/>
      <c r="E761" s="30"/>
      <c r="M761" s="76"/>
    </row>
    <row r="762" spans="1:13" ht="12.75">
      <c r="A762" s="74"/>
      <c r="B762" s="30"/>
      <c r="C762" s="30"/>
      <c r="D762" s="30"/>
      <c r="E762" s="30"/>
      <c r="M762" s="76"/>
    </row>
    <row r="763" spans="1:13" ht="12.75">
      <c r="A763" s="74"/>
      <c r="B763" s="30"/>
      <c r="C763" s="30"/>
      <c r="D763" s="30"/>
      <c r="E763" s="30"/>
      <c r="M763" s="76"/>
    </row>
    <row r="764" spans="1:13" ht="12.75">
      <c r="A764" s="74"/>
      <c r="B764" s="30"/>
      <c r="C764" s="30"/>
      <c r="D764" s="30"/>
      <c r="E764" s="30"/>
      <c r="M764" s="76"/>
    </row>
    <row r="765" spans="1:13" ht="12.75">
      <c r="A765" s="74"/>
      <c r="B765" s="30"/>
      <c r="C765" s="30"/>
      <c r="D765" s="30"/>
      <c r="E765" s="30"/>
      <c r="M765" s="76"/>
    </row>
    <row r="766" spans="1:13" ht="12.75">
      <c r="A766" s="74"/>
      <c r="B766" s="30"/>
      <c r="C766" s="30"/>
      <c r="D766" s="30"/>
      <c r="E766" s="30"/>
      <c r="M766" s="76"/>
    </row>
    <row r="767" spans="1:13" ht="12.75">
      <c r="A767" s="74"/>
      <c r="B767" s="30"/>
      <c r="C767" s="30"/>
      <c r="D767" s="30"/>
      <c r="E767" s="30"/>
      <c r="M767" s="76"/>
    </row>
    <row r="768" spans="1:13" ht="12.75">
      <c r="A768" s="74"/>
      <c r="B768" s="30"/>
      <c r="C768" s="30"/>
      <c r="D768" s="30"/>
      <c r="E768" s="30"/>
      <c r="M768" s="76"/>
    </row>
    <row r="769" spans="1:13" ht="12.75">
      <c r="A769" s="74"/>
      <c r="B769" s="30"/>
      <c r="C769" s="30"/>
      <c r="D769" s="30"/>
      <c r="E769" s="30"/>
      <c r="M769" s="76"/>
    </row>
    <row r="770" spans="1:13" ht="12.75">
      <c r="A770" s="74"/>
      <c r="B770" s="30"/>
      <c r="C770" s="30"/>
      <c r="D770" s="30"/>
      <c r="E770" s="30"/>
      <c r="M770" s="76"/>
    </row>
    <row r="771" spans="1:13" ht="12.75">
      <c r="A771" s="74"/>
      <c r="B771" s="30"/>
      <c r="C771" s="30"/>
      <c r="D771" s="30"/>
      <c r="E771" s="30"/>
      <c r="M771" s="76"/>
    </row>
    <row r="772" spans="1:13" ht="12.75">
      <c r="A772" s="74"/>
      <c r="B772" s="30"/>
      <c r="C772" s="30"/>
      <c r="D772" s="30"/>
      <c r="E772" s="30"/>
      <c r="M772" s="76"/>
    </row>
    <row r="773" spans="1:13" ht="12.75">
      <c r="A773" s="74"/>
      <c r="B773" s="30"/>
      <c r="C773" s="30"/>
      <c r="D773" s="30"/>
      <c r="E773" s="30"/>
      <c r="M773" s="76"/>
    </row>
    <row r="774" spans="1:13" ht="12.75">
      <c r="A774" s="74"/>
      <c r="B774" s="30"/>
      <c r="C774" s="30"/>
      <c r="D774" s="30"/>
      <c r="E774" s="30"/>
      <c r="M774" s="76"/>
    </row>
    <row r="775" spans="1:13" ht="12.75">
      <c r="A775" s="74"/>
      <c r="B775" s="30"/>
      <c r="C775" s="30"/>
      <c r="D775" s="30"/>
      <c r="E775" s="30"/>
      <c r="M775" s="76"/>
    </row>
    <row r="776" spans="1:13" ht="12.75">
      <c r="A776" s="74"/>
      <c r="B776" s="30"/>
      <c r="C776" s="30"/>
      <c r="D776" s="30"/>
      <c r="E776" s="30"/>
      <c r="M776" s="76"/>
    </row>
    <row r="777" spans="1:13" ht="12.75">
      <c r="A777" s="74"/>
      <c r="B777" s="30"/>
      <c r="C777" s="30"/>
      <c r="D777" s="30"/>
      <c r="E777" s="30"/>
      <c r="M777" s="76"/>
    </row>
    <row r="778" spans="1:13" ht="12.75">
      <c r="A778" s="74"/>
      <c r="B778" s="30"/>
      <c r="C778" s="30"/>
      <c r="D778" s="30"/>
      <c r="E778" s="30"/>
      <c r="M778" s="76"/>
    </row>
    <row r="779" spans="1:13" ht="12.75">
      <c r="A779" s="74"/>
      <c r="B779" s="30"/>
      <c r="C779" s="30"/>
      <c r="D779" s="30"/>
      <c r="E779" s="30"/>
      <c r="M779" s="76"/>
    </row>
    <row r="780" spans="1:13" ht="12.75">
      <c r="A780" s="74"/>
      <c r="B780" s="30"/>
      <c r="C780" s="30"/>
      <c r="D780" s="30"/>
      <c r="E780" s="30"/>
      <c r="M780" s="76"/>
    </row>
    <row r="781" spans="1:13" ht="12.75">
      <c r="A781" s="74"/>
      <c r="B781" s="30"/>
      <c r="C781" s="30"/>
      <c r="D781" s="30"/>
      <c r="E781" s="30"/>
      <c r="M781" s="76"/>
    </row>
    <row r="782" spans="1:13" ht="12.75">
      <c r="A782" s="74"/>
      <c r="B782" s="30"/>
      <c r="C782" s="30"/>
      <c r="D782" s="30"/>
      <c r="E782" s="30"/>
      <c r="M782" s="76"/>
    </row>
    <row r="783" spans="1:13" ht="12.75">
      <c r="A783" s="74"/>
      <c r="B783" s="30"/>
      <c r="C783" s="30"/>
      <c r="D783" s="30"/>
      <c r="E783" s="30"/>
      <c r="M783" s="76"/>
    </row>
    <row r="784" spans="1:13" ht="12.75">
      <c r="A784" s="74"/>
      <c r="B784" s="30"/>
      <c r="C784" s="30"/>
      <c r="D784" s="30"/>
      <c r="E784" s="30"/>
      <c r="M784" s="76"/>
    </row>
    <row r="785" spans="1:13" ht="12.75">
      <c r="A785" s="74"/>
      <c r="B785" s="30"/>
      <c r="C785" s="30"/>
      <c r="D785" s="30"/>
      <c r="E785" s="30"/>
      <c r="M785" s="76"/>
    </row>
    <row r="786" spans="1:13" ht="12.75">
      <c r="A786" s="74"/>
      <c r="B786" s="30"/>
      <c r="C786" s="30"/>
      <c r="D786" s="30"/>
      <c r="E786" s="30"/>
      <c r="M786" s="76"/>
    </row>
    <row r="787" spans="1:13" ht="12.75">
      <c r="A787" s="74"/>
      <c r="B787" s="30"/>
      <c r="C787" s="30"/>
      <c r="D787" s="30"/>
      <c r="E787" s="30"/>
      <c r="M787" s="76"/>
    </row>
    <row r="788" spans="1:13" ht="12.75">
      <c r="A788" s="74"/>
      <c r="B788" s="30"/>
      <c r="C788" s="30"/>
      <c r="D788" s="30"/>
      <c r="E788" s="30"/>
      <c r="M788" s="76"/>
    </row>
    <row r="789" spans="1:13" ht="12.75">
      <c r="A789" s="74"/>
      <c r="B789" s="30"/>
      <c r="C789" s="30"/>
      <c r="D789" s="30"/>
      <c r="E789" s="30"/>
      <c r="M789" s="76"/>
    </row>
    <row r="790" spans="1:13" ht="12.75">
      <c r="A790" s="74"/>
      <c r="B790" s="30"/>
      <c r="C790" s="30"/>
      <c r="D790" s="30"/>
      <c r="E790" s="30"/>
      <c r="M790" s="76"/>
    </row>
    <row r="791" spans="1:13" ht="12.75">
      <c r="A791" s="74"/>
      <c r="B791" s="30"/>
      <c r="C791" s="30"/>
      <c r="D791" s="30"/>
      <c r="E791" s="30"/>
      <c r="M791" s="76"/>
    </row>
    <row r="792" spans="1:13" ht="12.75">
      <c r="A792" s="74"/>
      <c r="B792" s="30"/>
      <c r="C792" s="30"/>
      <c r="D792" s="30"/>
      <c r="E792" s="30"/>
      <c r="M792" s="76"/>
    </row>
    <row r="793" spans="1:13" ht="12.75">
      <c r="A793" s="74"/>
      <c r="B793" s="30"/>
      <c r="C793" s="30"/>
      <c r="D793" s="30"/>
      <c r="E793" s="30"/>
      <c r="M793" s="76"/>
    </row>
    <row r="794" spans="1:13" ht="12.75">
      <c r="A794" s="74"/>
      <c r="B794" s="30"/>
      <c r="C794" s="30"/>
      <c r="D794" s="30"/>
      <c r="E794" s="30"/>
      <c r="M794" s="76"/>
    </row>
    <row r="795" spans="1:13" ht="12.75">
      <c r="A795" s="74"/>
      <c r="B795" s="30"/>
      <c r="C795" s="30"/>
      <c r="D795" s="30"/>
      <c r="E795" s="30"/>
      <c r="M795" s="76"/>
    </row>
    <row r="796" spans="1:13" ht="12.75">
      <c r="A796" s="74"/>
      <c r="B796" s="30"/>
      <c r="C796" s="30"/>
      <c r="D796" s="30"/>
      <c r="E796" s="30"/>
      <c r="M796" s="76"/>
    </row>
    <row r="797" spans="1:13" ht="12.75">
      <c r="A797" s="74"/>
      <c r="B797" s="30"/>
      <c r="C797" s="30"/>
      <c r="D797" s="30"/>
      <c r="E797" s="30"/>
      <c r="M797" s="76"/>
    </row>
    <row r="798" spans="1:13" ht="12.75">
      <c r="A798" s="74"/>
      <c r="B798" s="30"/>
      <c r="C798" s="30"/>
      <c r="D798" s="30"/>
      <c r="E798" s="30"/>
      <c r="M798" s="76"/>
    </row>
    <row r="799" spans="1:13" ht="12.75">
      <c r="A799" s="74"/>
      <c r="B799" s="30"/>
      <c r="C799" s="30"/>
      <c r="D799" s="30"/>
      <c r="E799" s="30"/>
      <c r="M799" s="76"/>
    </row>
    <row r="800" spans="1:13" ht="12.75">
      <c r="A800" s="74"/>
      <c r="B800" s="30"/>
      <c r="C800" s="30"/>
      <c r="D800" s="30"/>
      <c r="E800" s="30"/>
      <c r="M800" s="76"/>
    </row>
    <row r="801" spans="1:13" ht="12.75">
      <c r="A801" s="74"/>
      <c r="B801" s="30"/>
      <c r="C801" s="30"/>
      <c r="D801" s="30"/>
      <c r="E801" s="30"/>
      <c r="M801" s="76"/>
    </row>
    <row r="802" spans="1:13" ht="12.75">
      <c r="A802" s="74"/>
      <c r="B802" s="30"/>
      <c r="C802" s="30"/>
      <c r="D802" s="30"/>
      <c r="E802" s="30"/>
      <c r="M802" s="76"/>
    </row>
    <row r="803" spans="1:13" ht="12.75">
      <c r="A803" s="74"/>
      <c r="B803" s="30"/>
      <c r="C803" s="30"/>
      <c r="D803" s="30"/>
      <c r="E803" s="30"/>
      <c r="M803" s="76"/>
    </row>
    <row r="804" spans="1:13" ht="12.75">
      <c r="A804" s="74"/>
      <c r="B804" s="30"/>
      <c r="C804" s="30"/>
      <c r="D804" s="30"/>
      <c r="E804" s="30"/>
      <c r="M804" s="76"/>
    </row>
    <row r="805" spans="1:13" ht="12.75">
      <c r="A805" s="74"/>
      <c r="B805" s="30"/>
      <c r="C805" s="30"/>
      <c r="D805" s="30"/>
      <c r="E805" s="30"/>
      <c r="M805" s="76"/>
    </row>
    <row r="806" spans="1:13" ht="12.75">
      <c r="A806" s="74"/>
      <c r="B806" s="30"/>
      <c r="C806" s="30"/>
      <c r="D806" s="30"/>
      <c r="E806" s="30"/>
      <c r="M806" s="76"/>
    </row>
    <row r="807" spans="1:13" ht="12.75">
      <c r="A807" s="74"/>
      <c r="B807" s="30"/>
      <c r="C807" s="30"/>
      <c r="D807" s="30"/>
      <c r="E807" s="30"/>
      <c r="M807" s="76"/>
    </row>
    <row r="808" spans="1:13" ht="12.75">
      <c r="A808" s="74"/>
      <c r="B808" s="30"/>
      <c r="C808" s="30"/>
      <c r="D808" s="30"/>
      <c r="E808" s="30"/>
      <c r="M808" s="76"/>
    </row>
    <row r="809" spans="1:13" ht="12.75">
      <c r="A809" s="74"/>
      <c r="B809" s="30"/>
      <c r="C809" s="30"/>
      <c r="D809" s="30"/>
      <c r="E809" s="30"/>
      <c r="M809" s="76"/>
    </row>
    <row r="810" spans="1:13" ht="12.75">
      <c r="A810" s="74"/>
      <c r="B810" s="30"/>
      <c r="C810" s="30"/>
      <c r="D810" s="30"/>
      <c r="E810" s="30"/>
      <c r="M810" s="76"/>
    </row>
    <row r="811" spans="1:13" ht="12.75">
      <c r="A811" s="74"/>
      <c r="B811" s="30"/>
      <c r="C811" s="30"/>
      <c r="D811" s="30"/>
      <c r="E811" s="30"/>
      <c r="M811" s="76"/>
    </row>
    <row r="812" spans="1:13" ht="12.75">
      <c r="A812" s="74"/>
      <c r="B812" s="30"/>
      <c r="C812" s="30"/>
      <c r="D812" s="30"/>
      <c r="E812" s="30"/>
      <c r="M812" s="76"/>
    </row>
    <row r="813" spans="1:13" ht="12.75">
      <c r="A813" s="74"/>
      <c r="B813" s="30"/>
      <c r="C813" s="30"/>
      <c r="D813" s="30"/>
      <c r="E813" s="30"/>
      <c r="M813" s="76"/>
    </row>
    <row r="814" spans="1:13" ht="12.75">
      <c r="A814" s="74"/>
      <c r="B814" s="30"/>
      <c r="C814" s="30"/>
      <c r="D814" s="30"/>
      <c r="E814" s="30"/>
      <c r="M814" s="76"/>
    </row>
    <row r="815" spans="1:13" ht="12.75">
      <c r="A815" s="74"/>
      <c r="B815" s="30"/>
      <c r="C815" s="30"/>
      <c r="D815" s="30"/>
      <c r="E815" s="30"/>
      <c r="M815" s="76"/>
    </row>
    <row r="816" spans="1:13" ht="12.75">
      <c r="A816" s="74"/>
      <c r="B816" s="30"/>
      <c r="C816" s="30"/>
      <c r="D816" s="30"/>
      <c r="E816" s="30"/>
      <c r="M816" s="76"/>
    </row>
    <row r="817" spans="1:13" ht="12.75">
      <c r="A817" s="74"/>
      <c r="B817" s="30"/>
      <c r="C817" s="30"/>
      <c r="D817" s="30"/>
      <c r="E817" s="30"/>
      <c r="M817" s="76"/>
    </row>
    <row r="818" spans="1:13" ht="12.75">
      <c r="A818" s="74"/>
      <c r="B818" s="30"/>
      <c r="C818" s="30"/>
      <c r="D818" s="30"/>
      <c r="E818" s="30"/>
      <c r="M818" s="76"/>
    </row>
    <row r="819" spans="1:13" ht="12.75">
      <c r="A819" s="74"/>
      <c r="B819" s="30"/>
      <c r="C819" s="30"/>
      <c r="D819" s="30"/>
      <c r="E819" s="30"/>
      <c r="M819" s="76"/>
    </row>
    <row r="820" spans="1:13" ht="12.75">
      <c r="A820" s="74"/>
      <c r="B820" s="30"/>
      <c r="C820" s="30"/>
      <c r="D820" s="30"/>
      <c r="E820" s="30"/>
      <c r="M820" s="76"/>
    </row>
    <row r="821" spans="1:13" ht="12.75">
      <c r="A821" s="74"/>
      <c r="B821" s="30"/>
      <c r="C821" s="30"/>
      <c r="D821" s="30"/>
      <c r="E821" s="30"/>
      <c r="M821" s="76"/>
    </row>
    <row r="822" spans="1:13" ht="12.75">
      <c r="A822" s="74"/>
      <c r="B822" s="30"/>
      <c r="C822" s="30"/>
      <c r="D822" s="30"/>
      <c r="E822" s="30"/>
      <c r="M822" s="76"/>
    </row>
    <row r="823" spans="1:13" ht="12.75">
      <c r="A823" s="74"/>
      <c r="B823" s="30"/>
      <c r="C823" s="30"/>
      <c r="D823" s="30"/>
      <c r="E823" s="30"/>
      <c r="M823" s="76"/>
    </row>
    <row r="824" spans="1:13" ht="12.75">
      <c r="A824" s="74"/>
      <c r="B824" s="30"/>
      <c r="C824" s="30"/>
      <c r="D824" s="30"/>
      <c r="E824" s="30"/>
      <c r="M824" s="76"/>
    </row>
    <row r="825" spans="1:13" ht="12.75">
      <c r="A825" s="74"/>
      <c r="B825" s="30"/>
      <c r="C825" s="30"/>
      <c r="D825" s="30"/>
      <c r="E825" s="30"/>
      <c r="M825" s="76"/>
    </row>
    <row r="826" spans="1:13" ht="12.75">
      <c r="A826" s="74"/>
      <c r="B826" s="30"/>
      <c r="C826" s="30"/>
      <c r="D826" s="30"/>
      <c r="E826" s="30"/>
      <c r="M826" s="76"/>
    </row>
    <row r="827" spans="1:13" ht="12.75">
      <c r="A827" s="74"/>
      <c r="B827" s="30"/>
      <c r="C827" s="30"/>
      <c r="D827" s="30"/>
      <c r="E827" s="30"/>
      <c r="M827" s="76"/>
    </row>
    <row r="828" spans="1:13" ht="12.75">
      <c r="A828" s="74"/>
      <c r="B828" s="30"/>
      <c r="C828" s="30"/>
      <c r="D828" s="30"/>
      <c r="E828" s="30"/>
      <c r="M828" s="76"/>
    </row>
    <row r="829" spans="1:13" ht="12.75">
      <c r="A829" s="74"/>
      <c r="B829" s="30"/>
      <c r="C829" s="30"/>
      <c r="D829" s="30"/>
      <c r="E829" s="30"/>
      <c r="M829" s="76"/>
    </row>
    <row r="830" spans="1:13" ht="12.75">
      <c r="A830" s="74"/>
      <c r="B830" s="30"/>
      <c r="C830" s="30"/>
      <c r="D830" s="30"/>
      <c r="E830" s="30"/>
      <c r="M830" s="76"/>
    </row>
    <row r="831" spans="1:13" ht="12.75">
      <c r="A831" s="74"/>
      <c r="B831" s="30"/>
      <c r="C831" s="30"/>
      <c r="D831" s="30"/>
      <c r="E831" s="30"/>
      <c r="M831" s="76"/>
    </row>
    <row r="832" spans="1:13" ht="12.75">
      <c r="A832" s="74"/>
      <c r="B832" s="30"/>
      <c r="C832" s="30"/>
      <c r="D832" s="30"/>
      <c r="E832" s="30"/>
      <c r="M832" s="76"/>
    </row>
    <row r="833" spans="1:13" ht="12.75">
      <c r="A833" s="74"/>
      <c r="B833" s="30"/>
      <c r="C833" s="30"/>
      <c r="D833" s="30"/>
      <c r="E833" s="30"/>
      <c r="M833" s="76"/>
    </row>
    <row r="834" spans="1:13" ht="12.75">
      <c r="A834" s="74"/>
      <c r="B834" s="30"/>
      <c r="C834" s="30"/>
      <c r="D834" s="30"/>
      <c r="E834" s="30"/>
      <c r="M834" s="76"/>
    </row>
    <row r="835" spans="1:13" ht="12.75">
      <c r="A835" s="74"/>
      <c r="B835" s="30"/>
      <c r="C835" s="30"/>
      <c r="D835" s="30"/>
      <c r="E835" s="30"/>
      <c r="M835" s="76"/>
    </row>
    <row r="836" spans="1:13" ht="12.75">
      <c r="A836" s="74"/>
      <c r="B836" s="30"/>
      <c r="C836" s="30"/>
      <c r="D836" s="30"/>
      <c r="E836" s="30"/>
      <c r="M836" s="76"/>
    </row>
    <row r="837" spans="1:13" ht="12.75">
      <c r="A837" s="74"/>
      <c r="B837" s="30"/>
      <c r="C837" s="30"/>
      <c r="D837" s="30"/>
      <c r="E837" s="30"/>
      <c r="M837" s="76"/>
    </row>
    <row r="838" spans="1:13" ht="12.75">
      <c r="A838" s="74"/>
      <c r="B838" s="30"/>
      <c r="C838" s="30"/>
      <c r="D838" s="30"/>
      <c r="E838" s="30"/>
      <c r="M838" s="76"/>
    </row>
    <row r="839" spans="1:13" ht="12.75">
      <c r="A839" s="74"/>
      <c r="B839" s="30"/>
      <c r="C839" s="30"/>
      <c r="D839" s="30"/>
      <c r="E839" s="30"/>
      <c r="M839" s="76"/>
    </row>
    <row r="840" spans="1:13" ht="12.75">
      <c r="A840" s="74"/>
      <c r="B840" s="30"/>
      <c r="C840" s="30"/>
      <c r="D840" s="30"/>
      <c r="E840" s="30"/>
      <c r="M840" s="76"/>
    </row>
    <row r="841" spans="1:13" ht="12.75">
      <c r="A841" s="74"/>
      <c r="B841" s="30"/>
      <c r="C841" s="30"/>
      <c r="D841" s="30"/>
      <c r="E841" s="30"/>
      <c r="M841" s="76"/>
    </row>
    <row r="842" spans="1:13" ht="12.75">
      <c r="A842" s="74"/>
      <c r="B842" s="30"/>
      <c r="C842" s="30"/>
      <c r="D842" s="30"/>
      <c r="E842" s="30"/>
      <c r="M842" s="76"/>
    </row>
    <row r="843" spans="1:13" ht="12.75">
      <c r="A843" s="74"/>
      <c r="B843" s="30"/>
      <c r="C843" s="30"/>
      <c r="D843" s="30"/>
      <c r="E843" s="30"/>
      <c r="M843" s="76"/>
    </row>
    <row r="844" spans="1:13" ht="12.75">
      <c r="A844" s="74"/>
      <c r="B844" s="30"/>
      <c r="C844" s="30"/>
      <c r="D844" s="30"/>
      <c r="E844" s="30"/>
      <c r="M844" s="76"/>
    </row>
    <row r="845" spans="1:13" ht="12.75">
      <c r="A845" s="74"/>
      <c r="B845" s="30"/>
      <c r="C845" s="30"/>
      <c r="D845" s="30"/>
      <c r="E845" s="30"/>
      <c r="M845" s="76"/>
    </row>
    <row r="846" spans="1:13" ht="12.75">
      <c r="A846" s="74"/>
      <c r="B846" s="30"/>
      <c r="C846" s="30"/>
      <c r="D846" s="30"/>
      <c r="E846" s="30"/>
      <c r="M846" s="76"/>
    </row>
    <row r="847" spans="1:13" ht="12.75">
      <c r="A847" s="74"/>
      <c r="B847" s="30"/>
      <c r="C847" s="30"/>
      <c r="D847" s="30"/>
      <c r="E847" s="30"/>
      <c r="M847" s="76"/>
    </row>
    <row r="848" spans="1:13" ht="12.75">
      <c r="A848" s="74"/>
      <c r="B848" s="30"/>
      <c r="C848" s="30"/>
      <c r="D848" s="30"/>
      <c r="E848" s="30"/>
      <c r="M848" s="76"/>
    </row>
    <row r="849" spans="1:13" ht="12.75">
      <c r="A849" s="74"/>
      <c r="B849" s="30"/>
      <c r="C849" s="30"/>
      <c r="D849" s="30"/>
      <c r="E849" s="30"/>
      <c r="M849" s="76"/>
    </row>
    <row r="850" spans="1:13" ht="12.75">
      <c r="A850" s="74"/>
      <c r="B850" s="30"/>
      <c r="C850" s="30"/>
      <c r="D850" s="30"/>
      <c r="E850" s="30"/>
      <c r="M850" s="76"/>
    </row>
    <row r="851" spans="1:13" ht="12.75">
      <c r="A851" s="74"/>
      <c r="B851" s="30"/>
      <c r="C851" s="30"/>
      <c r="D851" s="30"/>
      <c r="E851" s="30"/>
      <c r="M851" s="76"/>
    </row>
    <row r="852" spans="1:13" ht="12.75">
      <c r="A852" s="74"/>
      <c r="B852" s="30"/>
      <c r="C852" s="30"/>
      <c r="D852" s="30"/>
      <c r="E852" s="30"/>
      <c r="M852" s="76"/>
    </row>
    <row r="853" spans="1:13" ht="12.75">
      <c r="A853" s="74"/>
      <c r="B853" s="30"/>
      <c r="C853" s="30"/>
      <c r="D853" s="30"/>
      <c r="E853" s="30"/>
      <c r="M853" s="76"/>
    </row>
    <row r="854" spans="1:13" ht="12.75">
      <c r="A854" s="74"/>
      <c r="B854" s="30"/>
      <c r="C854" s="30"/>
      <c r="D854" s="30"/>
      <c r="E854" s="30"/>
      <c r="M854" s="76"/>
    </row>
    <row r="855" spans="1:13" ht="12.75">
      <c r="A855" s="74"/>
      <c r="B855" s="30"/>
      <c r="C855" s="30"/>
      <c r="D855" s="30"/>
      <c r="E855" s="30"/>
      <c r="M855" s="76"/>
    </row>
    <row r="856" spans="1:13" ht="12.75">
      <c r="A856" s="74"/>
      <c r="B856" s="30"/>
      <c r="C856" s="30"/>
      <c r="D856" s="30"/>
      <c r="E856" s="30"/>
      <c r="M856" s="76"/>
    </row>
    <row r="857" spans="1:13" ht="12.75">
      <c r="A857" s="74"/>
      <c r="B857" s="30"/>
      <c r="C857" s="30"/>
      <c r="D857" s="30"/>
      <c r="E857" s="30"/>
      <c r="M857" s="76"/>
    </row>
    <row r="858" spans="1:13" ht="12.75">
      <c r="A858" s="74"/>
      <c r="B858" s="30"/>
      <c r="C858" s="30"/>
      <c r="D858" s="30"/>
      <c r="E858" s="30"/>
      <c r="M858" s="76"/>
    </row>
    <row r="859" spans="1:13" ht="12.75">
      <c r="A859" s="74"/>
      <c r="B859" s="30"/>
      <c r="C859" s="30"/>
      <c r="D859" s="30"/>
      <c r="E859" s="30"/>
      <c r="M859" s="76"/>
    </row>
    <row r="860" spans="1:13" ht="12.75">
      <c r="A860" s="74"/>
      <c r="B860" s="30"/>
      <c r="C860" s="30"/>
      <c r="D860" s="30"/>
      <c r="E860" s="30"/>
      <c r="M860" s="76"/>
    </row>
    <row r="861" spans="1:13" ht="12.75">
      <c r="A861" s="74"/>
      <c r="B861" s="30"/>
      <c r="C861" s="30"/>
      <c r="D861" s="30"/>
      <c r="E861" s="30"/>
      <c r="M861" s="76"/>
    </row>
    <row r="862" spans="1:13" ht="12.75">
      <c r="A862" s="74"/>
      <c r="B862" s="30"/>
      <c r="C862" s="30"/>
      <c r="D862" s="30"/>
      <c r="E862" s="30"/>
      <c r="M862" s="76"/>
    </row>
    <row r="863" spans="1:13" ht="12.75">
      <c r="A863" s="74"/>
      <c r="B863" s="30"/>
      <c r="C863" s="30"/>
      <c r="D863" s="30"/>
      <c r="E863" s="30"/>
      <c r="M863" s="76"/>
    </row>
    <row r="864" spans="1:13" ht="12.75">
      <c r="A864" s="74"/>
      <c r="B864" s="30"/>
      <c r="C864" s="30"/>
      <c r="D864" s="30"/>
      <c r="E864" s="30"/>
      <c r="M864" s="76"/>
    </row>
    <row r="865" spans="1:13" ht="12.75">
      <c r="A865" s="74"/>
      <c r="B865" s="30"/>
      <c r="C865" s="30"/>
      <c r="D865" s="30"/>
      <c r="E865" s="30"/>
      <c r="M865" s="76"/>
    </row>
    <row r="866" spans="1:13" ht="12.75">
      <c r="A866" s="74"/>
      <c r="B866" s="30"/>
      <c r="C866" s="30"/>
      <c r="D866" s="30"/>
      <c r="E866" s="30"/>
      <c r="M866" s="76"/>
    </row>
    <row r="867" spans="1:13" ht="12.75">
      <c r="A867" s="74"/>
      <c r="B867" s="30"/>
      <c r="C867" s="30"/>
      <c r="D867" s="30"/>
      <c r="E867" s="30"/>
      <c r="M867" s="76"/>
    </row>
    <row r="868" spans="1:13" ht="12.75">
      <c r="A868" s="74"/>
      <c r="B868" s="30"/>
      <c r="C868" s="30"/>
      <c r="D868" s="30"/>
      <c r="E868" s="30"/>
      <c r="M868" s="76"/>
    </row>
    <row r="869" spans="1:13" ht="12.75">
      <c r="A869" s="74"/>
      <c r="B869" s="30"/>
      <c r="C869" s="30"/>
      <c r="D869" s="30"/>
      <c r="E869" s="30"/>
      <c r="M869" s="76"/>
    </row>
    <row r="870" spans="1:13" ht="12.75">
      <c r="A870" s="74"/>
      <c r="B870" s="30"/>
      <c r="C870" s="30"/>
      <c r="D870" s="30"/>
      <c r="E870" s="30"/>
      <c r="M870" s="76"/>
    </row>
    <row r="871" spans="1:13" ht="12.75">
      <c r="A871" s="74"/>
      <c r="B871" s="30"/>
      <c r="C871" s="30"/>
      <c r="D871" s="30"/>
      <c r="E871" s="30"/>
      <c r="M871" s="76"/>
    </row>
    <row r="872" spans="1:13" ht="12.75">
      <c r="A872" s="74"/>
      <c r="B872" s="30"/>
      <c r="C872" s="30"/>
      <c r="D872" s="30"/>
      <c r="E872" s="30"/>
      <c r="M872" s="76"/>
    </row>
    <row r="873" spans="1:13" ht="12.75">
      <c r="A873" s="74"/>
      <c r="B873" s="30"/>
      <c r="C873" s="30"/>
      <c r="D873" s="30"/>
      <c r="E873" s="30"/>
      <c r="M873" s="76"/>
    </row>
    <row r="874" spans="1:13" ht="12.75">
      <c r="A874" s="74"/>
      <c r="B874" s="30"/>
      <c r="C874" s="30"/>
      <c r="D874" s="30"/>
      <c r="E874" s="30"/>
      <c r="M874" s="76"/>
    </row>
    <row r="875" spans="1:13" ht="12.75">
      <c r="A875" s="74"/>
      <c r="B875" s="30"/>
      <c r="C875" s="30"/>
      <c r="D875" s="30"/>
      <c r="E875" s="30"/>
      <c r="M875" s="76"/>
    </row>
    <row r="876" spans="1:13" ht="12.75">
      <c r="A876" s="74"/>
      <c r="B876" s="30"/>
      <c r="C876" s="30"/>
      <c r="D876" s="30"/>
      <c r="E876" s="30"/>
      <c r="M876" s="76"/>
    </row>
    <row r="877" spans="1:13" ht="12.75">
      <c r="A877" s="74"/>
      <c r="B877" s="30"/>
      <c r="C877" s="30"/>
      <c r="D877" s="30"/>
      <c r="E877" s="30"/>
      <c r="M877" s="76"/>
    </row>
    <row r="878" spans="1:13" ht="12.75">
      <c r="A878" s="74"/>
      <c r="B878" s="30"/>
      <c r="C878" s="30"/>
      <c r="D878" s="30"/>
      <c r="E878" s="30"/>
      <c r="M878" s="76"/>
    </row>
    <row r="879" spans="1:13" ht="12.75">
      <c r="A879" s="74"/>
      <c r="B879" s="30"/>
      <c r="C879" s="30"/>
      <c r="D879" s="30"/>
      <c r="E879" s="30"/>
      <c r="M879" s="76"/>
    </row>
    <row r="880" spans="1:13" ht="12.75">
      <c r="A880" s="74"/>
      <c r="B880" s="30"/>
      <c r="C880" s="30"/>
      <c r="D880" s="30"/>
      <c r="E880" s="30"/>
      <c r="M880" s="76"/>
    </row>
    <row r="881" spans="1:13" ht="12.75">
      <c r="A881" s="74"/>
      <c r="B881" s="30"/>
      <c r="C881" s="30"/>
      <c r="D881" s="30"/>
      <c r="E881" s="30"/>
      <c r="M881" s="76"/>
    </row>
    <row r="882" spans="1:13" ht="12.75">
      <c r="A882" s="74"/>
      <c r="B882" s="30"/>
      <c r="C882" s="30"/>
      <c r="D882" s="30"/>
      <c r="E882" s="30"/>
      <c r="M882" s="76"/>
    </row>
    <row r="883" spans="1:13" ht="12.75">
      <c r="A883" s="74"/>
      <c r="B883" s="30"/>
      <c r="C883" s="30"/>
      <c r="D883" s="30"/>
      <c r="E883" s="30"/>
      <c r="M883" s="76"/>
    </row>
    <row r="884" spans="1:13" ht="12.75">
      <c r="A884" s="74"/>
      <c r="B884" s="30"/>
      <c r="C884" s="30"/>
      <c r="D884" s="30"/>
      <c r="E884" s="30"/>
      <c r="M884" s="76"/>
    </row>
    <row r="885" spans="1:13" ht="12.75">
      <c r="A885" s="74"/>
      <c r="B885" s="30"/>
      <c r="C885" s="30"/>
      <c r="D885" s="30"/>
      <c r="E885" s="30"/>
      <c r="M885" s="76"/>
    </row>
    <row r="886" spans="1:13" ht="12.75">
      <c r="A886" s="74"/>
      <c r="B886" s="30"/>
      <c r="C886" s="30"/>
      <c r="D886" s="30"/>
      <c r="E886" s="30"/>
      <c r="M886" s="76"/>
    </row>
    <row r="887" spans="1:13" ht="12.75">
      <c r="A887" s="74"/>
      <c r="B887" s="30"/>
      <c r="C887" s="30"/>
      <c r="D887" s="30"/>
      <c r="E887" s="30"/>
      <c r="M887" s="76"/>
    </row>
    <row r="888" spans="1:13" ht="12.75">
      <c r="A888" s="74"/>
      <c r="B888" s="30"/>
      <c r="C888" s="30"/>
      <c r="D888" s="30"/>
      <c r="E888" s="30"/>
      <c r="M888" s="76"/>
    </row>
    <row r="889" spans="1:13" ht="12.75">
      <c r="A889" s="74"/>
      <c r="B889" s="30"/>
      <c r="C889" s="30"/>
      <c r="D889" s="30"/>
      <c r="E889" s="30"/>
      <c r="M889" s="76"/>
    </row>
    <row r="890" spans="1:13" ht="12.75">
      <c r="A890" s="74"/>
      <c r="B890" s="30"/>
      <c r="C890" s="30"/>
      <c r="D890" s="30"/>
      <c r="E890" s="30"/>
      <c r="M890" s="76"/>
    </row>
    <row r="891" spans="1:13" ht="12.75">
      <c r="A891" s="74"/>
      <c r="B891" s="30"/>
      <c r="C891" s="30"/>
      <c r="D891" s="30"/>
      <c r="E891" s="30"/>
      <c r="M891" s="76"/>
    </row>
    <row r="892" spans="1:13" ht="12.75">
      <c r="A892" s="74"/>
      <c r="B892" s="30"/>
      <c r="C892" s="30"/>
      <c r="D892" s="30"/>
      <c r="E892" s="30"/>
      <c r="M892" s="76"/>
    </row>
    <row r="893" spans="1:13" ht="12.75">
      <c r="A893" s="74"/>
      <c r="B893" s="30"/>
      <c r="C893" s="30"/>
      <c r="D893" s="30"/>
      <c r="E893" s="30"/>
      <c r="M893" s="76"/>
    </row>
    <row r="894" spans="1:13" ht="12.75">
      <c r="A894" s="74"/>
      <c r="B894" s="30"/>
      <c r="C894" s="30"/>
      <c r="D894" s="30"/>
      <c r="E894" s="30"/>
      <c r="M894" s="76"/>
    </row>
    <row r="895" spans="1:13" ht="12.75">
      <c r="A895" s="74"/>
      <c r="B895" s="30"/>
      <c r="C895" s="30"/>
      <c r="D895" s="30"/>
      <c r="E895" s="30"/>
      <c r="M895" s="76"/>
    </row>
    <row r="896" spans="1:13" ht="12.75">
      <c r="A896" s="74"/>
      <c r="B896" s="30"/>
      <c r="C896" s="30"/>
      <c r="D896" s="30"/>
      <c r="E896" s="30"/>
      <c r="M896" s="76"/>
    </row>
    <row r="897" spans="1:13" ht="12.75">
      <c r="A897" s="74"/>
      <c r="B897" s="30"/>
      <c r="C897" s="30"/>
      <c r="D897" s="30"/>
      <c r="E897" s="30"/>
      <c r="M897" s="76"/>
    </row>
    <row r="898" spans="1:13" ht="12.75">
      <c r="A898" s="74"/>
      <c r="B898" s="30"/>
      <c r="C898" s="30"/>
      <c r="D898" s="30"/>
      <c r="E898" s="30"/>
      <c r="M898" s="76"/>
    </row>
    <row r="899" spans="1:13" ht="12.75">
      <c r="A899" s="74"/>
      <c r="B899" s="30"/>
      <c r="C899" s="30"/>
      <c r="D899" s="30"/>
      <c r="E899" s="30"/>
      <c r="M899" s="76"/>
    </row>
    <row r="900" spans="1:13" ht="12.75">
      <c r="A900" s="74"/>
      <c r="B900" s="30"/>
      <c r="C900" s="30"/>
      <c r="D900" s="30"/>
      <c r="E900" s="30"/>
      <c r="M900" s="76"/>
    </row>
    <row r="901" spans="1:13" ht="12.75">
      <c r="A901" s="74"/>
      <c r="B901" s="30"/>
      <c r="C901" s="30"/>
      <c r="D901" s="30"/>
      <c r="E901" s="30"/>
      <c r="M901" s="76"/>
    </row>
    <row r="902" spans="1:13" ht="12.75">
      <c r="A902" s="74"/>
      <c r="B902" s="30"/>
      <c r="C902" s="30"/>
      <c r="D902" s="30"/>
      <c r="E902" s="30"/>
      <c r="M902" s="76"/>
    </row>
    <row r="903" spans="1:13" ht="12.75">
      <c r="A903" s="74"/>
      <c r="B903" s="30"/>
      <c r="C903" s="30"/>
      <c r="D903" s="30"/>
      <c r="E903" s="30"/>
      <c r="M903" s="76"/>
    </row>
    <row r="904" spans="1:13" ht="12.75">
      <c r="A904" s="74"/>
      <c r="B904" s="30"/>
      <c r="C904" s="30"/>
      <c r="D904" s="30"/>
      <c r="E904" s="30"/>
      <c r="M904" s="76"/>
    </row>
    <row r="905" spans="1:13" ht="12.75">
      <c r="A905" s="74"/>
      <c r="B905" s="30"/>
      <c r="C905" s="30"/>
      <c r="D905" s="30"/>
      <c r="E905" s="30"/>
      <c r="M905" s="76"/>
    </row>
    <row r="906" spans="1:13" ht="12.75">
      <c r="A906" s="74"/>
      <c r="B906" s="30"/>
      <c r="C906" s="30"/>
      <c r="D906" s="30"/>
      <c r="E906" s="30"/>
      <c r="M906" s="76"/>
    </row>
    <row r="907" spans="1:13" ht="12.75">
      <c r="A907" s="74"/>
      <c r="B907" s="30"/>
      <c r="C907" s="30"/>
      <c r="D907" s="30"/>
      <c r="E907" s="30"/>
      <c r="M907" s="76"/>
    </row>
    <row r="908" spans="1:13" ht="12.75">
      <c r="A908" s="74"/>
      <c r="B908" s="30"/>
      <c r="C908" s="30"/>
      <c r="D908" s="30"/>
      <c r="E908" s="30"/>
      <c r="M908" s="76"/>
    </row>
    <row r="909" spans="1:13" ht="12.75">
      <c r="A909" s="74"/>
      <c r="B909" s="30"/>
      <c r="C909" s="30"/>
      <c r="D909" s="30"/>
      <c r="E909" s="30"/>
      <c r="M909" s="76"/>
    </row>
    <row r="910" spans="1:13" ht="12.75">
      <c r="A910" s="74"/>
      <c r="B910" s="30"/>
      <c r="C910" s="30"/>
      <c r="D910" s="30"/>
      <c r="E910" s="30"/>
      <c r="M910" s="76"/>
    </row>
    <row r="911" spans="1:13" ht="12.75">
      <c r="A911" s="74"/>
      <c r="B911" s="30"/>
      <c r="C911" s="30"/>
      <c r="D911" s="30"/>
      <c r="E911" s="30"/>
      <c r="M911" s="76"/>
    </row>
    <row r="912" spans="1:13" ht="12.75">
      <c r="A912" s="74"/>
      <c r="B912" s="30"/>
      <c r="C912" s="30"/>
      <c r="D912" s="30"/>
      <c r="E912" s="30"/>
      <c r="M912" s="76"/>
    </row>
    <row r="913" spans="1:13" ht="12.75">
      <c r="A913" s="74"/>
      <c r="B913" s="30"/>
      <c r="C913" s="30"/>
      <c r="D913" s="30"/>
      <c r="E913" s="30"/>
      <c r="M913" s="76"/>
    </row>
    <row r="914" spans="1:13" ht="12.75">
      <c r="A914" s="74"/>
      <c r="B914" s="30"/>
      <c r="C914" s="30"/>
      <c r="D914" s="30"/>
      <c r="E914" s="30"/>
      <c r="M914" s="76"/>
    </row>
    <row r="915" spans="1:13" ht="12.75">
      <c r="A915" s="74"/>
      <c r="B915" s="30"/>
      <c r="C915" s="30"/>
      <c r="D915" s="30"/>
      <c r="E915" s="30"/>
      <c r="M915" s="76"/>
    </row>
    <row r="916" spans="1:13" ht="12.75">
      <c r="A916" s="74"/>
      <c r="B916" s="30"/>
      <c r="C916" s="30"/>
      <c r="D916" s="30"/>
      <c r="E916" s="30"/>
      <c r="M916" s="76"/>
    </row>
    <row r="917" spans="1:13" ht="12.75">
      <c r="A917" s="74"/>
      <c r="B917" s="30"/>
      <c r="C917" s="30"/>
      <c r="D917" s="30"/>
      <c r="E917" s="30"/>
      <c r="M917" s="76"/>
    </row>
    <row r="918" spans="1:13" ht="12.75">
      <c r="A918" s="74"/>
      <c r="B918" s="30"/>
      <c r="C918" s="30"/>
      <c r="D918" s="30"/>
      <c r="E918" s="30"/>
      <c r="M918" s="76"/>
    </row>
    <row r="919" spans="1:13" ht="12.75">
      <c r="A919" s="74"/>
      <c r="B919" s="30"/>
      <c r="C919" s="30"/>
      <c r="D919" s="30"/>
      <c r="E919" s="30"/>
      <c r="M919" s="76"/>
    </row>
    <row r="920" spans="1:13" ht="12.75">
      <c r="A920" s="74"/>
      <c r="B920" s="30"/>
      <c r="C920" s="30"/>
      <c r="D920" s="30"/>
      <c r="E920" s="30"/>
      <c r="M920" s="76"/>
    </row>
    <row r="921" spans="1:13" ht="12.75">
      <c r="A921" s="74"/>
      <c r="B921" s="30"/>
      <c r="C921" s="30"/>
      <c r="D921" s="30"/>
      <c r="E921" s="30"/>
      <c r="M921" s="76"/>
    </row>
    <row r="922" spans="1:13" ht="12.75">
      <c r="A922" s="74"/>
      <c r="B922" s="30"/>
      <c r="C922" s="30"/>
      <c r="D922" s="30"/>
      <c r="E922" s="30"/>
      <c r="M922" s="76"/>
    </row>
    <row r="923" spans="1:13" ht="12.75">
      <c r="A923" s="74"/>
      <c r="B923" s="30"/>
      <c r="C923" s="30"/>
      <c r="D923" s="30"/>
      <c r="E923" s="30"/>
      <c r="M923" s="76"/>
    </row>
    <row r="924" spans="1:13" ht="12.75">
      <c r="A924" s="74"/>
      <c r="B924" s="30"/>
      <c r="C924" s="30"/>
      <c r="D924" s="30"/>
      <c r="E924" s="30"/>
      <c r="M924" s="76"/>
    </row>
    <row r="925" spans="1:13" ht="12.75">
      <c r="A925" s="74"/>
      <c r="B925" s="30"/>
      <c r="C925" s="30"/>
      <c r="D925" s="30"/>
      <c r="E925" s="30"/>
      <c r="M925" s="76"/>
    </row>
    <row r="926" spans="1:13" ht="12.75">
      <c r="A926" s="74"/>
      <c r="B926" s="30"/>
      <c r="C926" s="30"/>
      <c r="D926" s="30"/>
      <c r="E926" s="30"/>
      <c r="M926" s="76"/>
    </row>
    <row r="927" spans="1:13" ht="12.75">
      <c r="A927" s="74"/>
      <c r="B927" s="30"/>
      <c r="C927" s="30"/>
      <c r="D927" s="30"/>
      <c r="E927" s="30"/>
      <c r="M927" s="76"/>
    </row>
    <row r="928" spans="1:13" ht="12.75">
      <c r="A928" s="74"/>
      <c r="B928" s="30"/>
      <c r="C928" s="30"/>
      <c r="D928" s="30"/>
      <c r="E928" s="30"/>
      <c r="M928" s="76"/>
    </row>
    <row r="929" spans="1:13" ht="12.75">
      <c r="A929" s="74"/>
      <c r="B929" s="30"/>
      <c r="C929" s="30"/>
      <c r="D929" s="30"/>
      <c r="E929" s="30"/>
      <c r="M929" s="76"/>
    </row>
    <row r="930" spans="1:13" ht="12.75">
      <c r="A930" s="74"/>
      <c r="B930" s="30"/>
      <c r="C930" s="30"/>
      <c r="D930" s="30"/>
      <c r="E930" s="30"/>
      <c r="M930" s="76"/>
    </row>
    <row r="931" spans="1:13" ht="12.75">
      <c r="A931" s="74"/>
      <c r="B931" s="30"/>
      <c r="C931" s="30"/>
      <c r="D931" s="30"/>
      <c r="E931" s="30"/>
      <c r="M931" s="76"/>
    </row>
    <row r="932" spans="1:13" ht="12.75">
      <c r="A932" s="74"/>
      <c r="B932" s="30"/>
      <c r="C932" s="30"/>
      <c r="D932" s="30"/>
      <c r="E932" s="30"/>
      <c r="M932" s="76"/>
    </row>
    <row r="933" spans="1:13" ht="12.75">
      <c r="A933" s="74"/>
      <c r="B933" s="30"/>
      <c r="C933" s="30"/>
      <c r="D933" s="30"/>
      <c r="E933" s="30"/>
      <c r="M933" s="76"/>
    </row>
    <row r="934" spans="1:13" ht="12.75">
      <c r="A934" s="74"/>
      <c r="B934" s="30"/>
      <c r="C934" s="30"/>
      <c r="D934" s="30"/>
      <c r="E934" s="30"/>
      <c r="M934" s="76"/>
    </row>
    <row r="935" spans="1:13" ht="12.75">
      <c r="A935" s="74"/>
      <c r="B935" s="30"/>
      <c r="C935" s="30"/>
      <c r="D935" s="30"/>
      <c r="E935" s="30"/>
      <c r="M935" s="76"/>
    </row>
    <row r="936" spans="1:13" ht="12.75">
      <c r="A936" s="74"/>
      <c r="B936" s="30"/>
      <c r="C936" s="30"/>
      <c r="D936" s="30"/>
      <c r="E936" s="30"/>
      <c r="M936" s="76"/>
    </row>
    <row r="937" spans="1:13" ht="12.75">
      <c r="A937" s="74"/>
      <c r="B937" s="30"/>
      <c r="C937" s="30"/>
      <c r="D937" s="30"/>
      <c r="E937" s="30"/>
      <c r="M937" s="76"/>
    </row>
    <row r="938" spans="1:13" ht="12.75">
      <c r="A938" s="74"/>
      <c r="B938" s="30"/>
      <c r="C938" s="30"/>
      <c r="D938" s="30"/>
      <c r="E938" s="30"/>
      <c r="M938" s="76"/>
    </row>
    <row r="939" spans="1:13" ht="12.75">
      <c r="A939" s="74"/>
      <c r="B939" s="30"/>
      <c r="C939" s="30"/>
      <c r="D939" s="30"/>
      <c r="E939" s="30"/>
      <c r="M939" s="76"/>
    </row>
    <row r="940" spans="1:13" ht="12.75">
      <c r="A940" s="74"/>
      <c r="B940" s="30"/>
      <c r="C940" s="30"/>
      <c r="D940" s="30"/>
      <c r="E940" s="30"/>
      <c r="M940" s="76"/>
    </row>
    <row r="941" spans="1:13" ht="12.75">
      <c r="A941" s="74"/>
      <c r="B941" s="30"/>
      <c r="C941" s="30"/>
      <c r="D941" s="30"/>
      <c r="E941" s="30"/>
      <c r="M941" s="76"/>
    </row>
    <row r="942" spans="1:13" ht="12.75">
      <c r="A942" s="74"/>
      <c r="B942" s="30"/>
      <c r="C942" s="30"/>
      <c r="D942" s="30"/>
      <c r="E942" s="30"/>
      <c r="M942" s="76"/>
    </row>
    <row r="943" spans="1:13" ht="12.75">
      <c r="A943" s="74"/>
      <c r="B943" s="30"/>
      <c r="C943" s="30"/>
      <c r="D943" s="30"/>
      <c r="E943" s="30"/>
      <c r="M943" s="76"/>
    </row>
    <row r="944" spans="1:13" ht="12.75">
      <c r="A944" s="74"/>
      <c r="B944" s="30"/>
      <c r="C944" s="30"/>
      <c r="D944" s="30"/>
      <c r="E944" s="30"/>
      <c r="M944" s="76"/>
    </row>
    <row r="945" spans="1:13" ht="12.75">
      <c r="A945" s="74"/>
      <c r="B945" s="30"/>
      <c r="C945" s="30"/>
      <c r="D945" s="30"/>
      <c r="E945" s="30"/>
      <c r="M945" s="76"/>
    </row>
    <row r="946" spans="1:13" ht="12.75">
      <c r="A946" s="74"/>
      <c r="B946" s="30"/>
      <c r="C946" s="30"/>
      <c r="D946" s="30"/>
      <c r="E946" s="30"/>
      <c r="M946" s="76"/>
    </row>
    <row r="947" spans="1:13" ht="12.75">
      <c r="A947" s="74"/>
      <c r="B947" s="30"/>
      <c r="C947" s="30"/>
      <c r="D947" s="30"/>
      <c r="E947" s="30"/>
      <c r="M947" s="76"/>
    </row>
    <row r="948" spans="1:13" ht="12.75">
      <c r="A948" s="74"/>
      <c r="B948" s="30"/>
      <c r="C948" s="30"/>
      <c r="D948" s="30"/>
      <c r="E948" s="30"/>
      <c r="M948" s="76"/>
    </row>
    <row r="949" spans="1:13" ht="12.75">
      <c r="A949" s="74"/>
      <c r="B949" s="30"/>
      <c r="C949" s="30"/>
      <c r="D949" s="30"/>
      <c r="E949" s="30"/>
      <c r="M949" s="76"/>
    </row>
    <row r="950" spans="1:13" ht="12.75">
      <c r="A950" s="74"/>
      <c r="B950" s="30"/>
      <c r="C950" s="30"/>
      <c r="D950" s="30"/>
      <c r="E950" s="30"/>
      <c r="M950" s="76"/>
    </row>
    <row r="951" spans="1:13" ht="12.75">
      <c r="A951" s="74"/>
      <c r="B951" s="30"/>
      <c r="C951" s="30"/>
      <c r="D951" s="30"/>
      <c r="E951" s="30"/>
      <c r="M951" s="76"/>
    </row>
    <row r="952" spans="1:13" ht="12.75">
      <c r="A952" s="74"/>
      <c r="B952" s="30"/>
      <c r="C952" s="30"/>
      <c r="D952" s="30"/>
      <c r="E952" s="30"/>
      <c r="M952" s="76"/>
    </row>
    <row r="953" spans="1:13" ht="12.75">
      <c r="A953" s="74"/>
      <c r="B953" s="30"/>
      <c r="C953" s="30"/>
      <c r="D953" s="30"/>
      <c r="E953" s="30"/>
      <c r="M953" s="76"/>
    </row>
    <row r="954" spans="1:13" ht="12.75">
      <c r="A954" s="74"/>
      <c r="B954" s="30"/>
      <c r="C954" s="30"/>
      <c r="D954" s="30"/>
      <c r="E954" s="30"/>
      <c r="M954" s="76"/>
    </row>
    <row r="955" spans="1:13" ht="12.75">
      <c r="A955" s="74"/>
      <c r="B955" s="30"/>
      <c r="C955" s="30"/>
      <c r="D955" s="30"/>
      <c r="E955" s="30"/>
      <c r="M955" s="76"/>
    </row>
    <row r="956" spans="1:13" ht="12.75">
      <c r="A956" s="74"/>
      <c r="B956" s="30"/>
      <c r="C956" s="30"/>
      <c r="D956" s="30"/>
      <c r="E956" s="30"/>
      <c r="M956" s="76"/>
    </row>
    <row r="957" spans="1:13" ht="12.75">
      <c r="A957" s="74"/>
      <c r="B957" s="30"/>
      <c r="C957" s="30"/>
      <c r="D957" s="30"/>
      <c r="E957" s="30"/>
      <c r="M957" s="76"/>
    </row>
    <row r="958" spans="1:13" ht="12.75">
      <c r="A958" s="74"/>
      <c r="B958" s="30"/>
      <c r="C958" s="30"/>
      <c r="D958" s="30"/>
      <c r="E958" s="30"/>
      <c r="M958" s="76"/>
    </row>
    <row r="959" spans="1:13" ht="12.75">
      <c r="A959" s="74"/>
      <c r="B959" s="30"/>
      <c r="C959" s="30"/>
      <c r="D959" s="30"/>
      <c r="E959" s="30"/>
      <c r="M959" s="76"/>
    </row>
    <row r="960" spans="1:13" ht="12.75">
      <c r="A960" s="74"/>
      <c r="B960" s="30"/>
      <c r="C960" s="30"/>
      <c r="D960" s="30"/>
      <c r="E960" s="30"/>
      <c r="M960" s="76"/>
    </row>
    <row r="961" spans="1:13" ht="12.75">
      <c r="A961" s="74"/>
      <c r="B961" s="30"/>
      <c r="C961" s="30"/>
      <c r="D961" s="30"/>
      <c r="E961" s="30"/>
      <c r="M961" s="76"/>
    </row>
    <row r="962" spans="1:13" ht="12.75">
      <c r="A962" s="74"/>
      <c r="B962" s="30"/>
      <c r="C962" s="30"/>
      <c r="D962" s="30"/>
      <c r="E962" s="30"/>
      <c r="M962" s="76"/>
    </row>
    <row r="963" spans="1:13" ht="12.75">
      <c r="A963" s="74"/>
      <c r="B963" s="30"/>
      <c r="C963" s="30"/>
      <c r="D963" s="30"/>
      <c r="E963" s="30"/>
      <c r="M963" s="76"/>
    </row>
    <row r="964" spans="1:13" ht="12.75">
      <c r="A964" s="74"/>
      <c r="B964" s="30"/>
      <c r="C964" s="30"/>
      <c r="D964" s="30"/>
      <c r="E964" s="30"/>
      <c r="M964" s="76"/>
    </row>
    <row r="965" spans="1:13" ht="12.75">
      <c r="A965" s="74"/>
      <c r="B965" s="30"/>
      <c r="C965" s="30"/>
      <c r="D965" s="30"/>
      <c r="E965" s="30"/>
      <c r="M965" s="76"/>
    </row>
    <row r="966" spans="1:13" ht="12.75">
      <c r="A966" s="74"/>
      <c r="B966" s="30"/>
      <c r="C966" s="30"/>
      <c r="D966" s="30"/>
      <c r="E966" s="30"/>
      <c r="M966" s="76"/>
    </row>
    <row r="967" spans="1:13" ht="12.75">
      <c r="A967" s="74"/>
      <c r="B967" s="30"/>
      <c r="C967" s="30"/>
      <c r="D967" s="30"/>
      <c r="E967" s="30"/>
      <c r="M967" s="76"/>
    </row>
    <row r="968" spans="1:13" ht="12.75">
      <c r="A968" s="74"/>
      <c r="B968" s="30"/>
      <c r="C968" s="30"/>
      <c r="D968" s="30"/>
      <c r="E968" s="30"/>
      <c r="M968" s="76"/>
    </row>
    <row r="969" spans="1:13" ht="12.75">
      <c r="A969" s="74"/>
      <c r="B969" s="30"/>
      <c r="C969" s="30"/>
      <c r="D969" s="30"/>
      <c r="E969" s="30"/>
      <c r="M969" s="76"/>
    </row>
    <row r="970" spans="1:13" ht="12.75">
      <c r="A970" s="74"/>
      <c r="B970" s="30"/>
      <c r="C970" s="30"/>
      <c r="D970" s="30"/>
      <c r="E970" s="30"/>
      <c r="M970" s="76"/>
    </row>
    <row r="971" spans="1:13" ht="12.75">
      <c r="A971" s="74"/>
      <c r="B971" s="30"/>
      <c r="C971" s="30"/>
      <c r="D971" s="30"/>
      <c r="E971" s="30"/>
      <c r="M971" s="76"/>
    </row>
    <row r="972" spans="1:13" ht="12.75">
      <c r="A972" s="74"/>
      <c r="B972" s="30"/>
      <c r="C972" s="30"/>
      <c r="D972" s="30"/>
      <c r="E972" s="30"/>
      <c r="M972" s="76"/>
    </row>
    <row r="973" spans="1:13" ht="12.75">
      <c r="A973" s="74"/>
      <c r="B973" s="30"/>
      <c r="C973" s="30"/>
      <c r="D973" s="30"/>
      <c r="E973" s="30"/>
      <c r="M973" s="76"/>
    </row>
    <row r="974" spans="1:13" ht="12.75">
      <c r="A974" s="74"/>
      <c r="B974" s="30"/>
      <c r="C974" s="30"/>
      <c r="D974" s="30"/>
      <c r="E974" s="30"/>
      <c r="M974" s="76"/>
    </row>
    <row r="975" spans="1:13" ht="12.75">
      <c r="A975" s="74"/>
      <c r="B975" s="30"/>
      <c r="C975" s="30"/>
      <c r="D975" s="30"/>
      <c r="E975" s="30"/>
      <c r="M975" s="76"/>
    </row>
    <row r="976" spans="1:13" ht="12.75">
      <c r="A976" s="74"/>
      <c r="B976" s="30"/>
      <c r="C976" s="30"/>
      <c r="D976" s="30"/>
      <c r="E976" s="30"/>
      <c r="M976" s="76"/>
    </row>
    <row r="977" spans="1:13" ht="12.75">
      <c r="A977" s="74"/>
      <c r="B977" s="30"/>
      <c r="C977" s="30"/>
      <c r="D977" s="30"/>
      <c r="E977" s="30"/>
      <c r="M977" s="76"/>
    </row>
    <row r="978" spans="1:13" ht="12.75">
      <c r="A978" s="74"/>
      <c r="B978" s="30"/>
      <c r="C978" s="30"/>
      <c r="D978" s="30"/>
      <c r="E978" s="30"/>
      <c r="M978" s="76"/>
    </row>
    <row r="979" spans="1:13" ht="12.75">
      <c r="A979" s="74"/>
      <c r="B979" s="30"/>
      <c r="C979" s="30"/>
      <c r="D979" s="30"/>
      <c r="E979" s="30"/>
      <c r="M979" s="76"/>
    </row>
    <row r="980" spans="1:13" ht="12.75">
      <c r="A980" s="74"/>
      <c r="B980" s="30"/>
      <c r="C980" s="30"/>
      <c r="D980" s="30"/>
      <c r="E980" s="30"/>
      <c r="M980" s="76"/>
    </row>
    <row r="981" spans="1:13" ht="12.75">
      <c r="A981" s="74"/>
      <c r="B981" s="30"/>
      <c r="C981" s="30"/>
      <c r="D981" s="30"/>
      <c r="E981" s="30"/>
      <c r="M981" s="76"/>
    </row>
    <row r="982" spans="1:13" ht="12.75">
      <c r="A982" s="74"/>
      <c r="B982" s="30"/>
      <c r="C982" s="30"/>
      <c r="D982" s="30"/>
      <c r="E982" s="30"/>
      <c r="M982" s="76"/>
    </row>
    <row r="983" spans="1:13" ht="12.75">
      <c r="A983" s="74"/>
      <c r="B983" s="30"/>
      <c r="C983" s="30"/>
      <c r="D983" s="30"/>
      <c r="E983" s="30"/>
      <c r="M983" s="76"/>
    </row>
    <row r="984" spans="1:13" ht="12.75">
      <c r="A984" s="74"/>
      <c r="B984" s="30"/>
      <c r="C984" s="30"/>
      <c r="D984" s="30"/>
      <c r="E984" s="30"/>
      <c r="M984" s="76"/>
    </row>
    <row r="985" spans="1:13" ht="12.75">
      <c r="A985" s="74"/>
      <c r="B985" s="30"/>
      <c r="C985" s="30"/>
      <c r="D985" s="30"/>
      <c r="E985" s="30"/>
      <c r="M985" s="76"/>
    </row>
    <row r="986" spans="1:13" ht="12.75">
      <c r="A986" s="74"/>
      <c r="B986" s="30"/>
      <c r="C986" s="30"/>
      <c r="D986" s="30"/>
      <c r="E986" s="30"/>
      <c r="M986" s="76"/>
    </row>
    <row r="987" spans="1:13" ht="12.75">
      <c r="A987" s="74"/>
      <c r="B987" s="30"/>
      <c r="C987" s="30"/>
      <c r="D987" s="30"/>
      <c r="E987" s="30"/>
      <c r="M987" s="76"/>
    </row>
    <row r="988" spans="1:13" ht="12.75">
      <c r="A988" s="74"/>
      <c r="B988" s="30"/>
      <c r="C988" s="30"/>
      <c r="D988" s="30"/>
      <c r="E988" s="30"/>
      <c r="M988" s="76"/>
    </row>
    <row r="989" spans="1:13" ht="12.75">
      <c r="A989" s="74"/>
      <c r="B989" s="30"/>
      <c r="C989" s="30"/>
      <c r="D989" s="30"/>
      <c r="E989" s="30"/>
      <c r="M989" s="76"/>
    </row>
    <row r="990" spans="1:13" ht="12.75">
      <c r="A990" s="74"/>
      <c r="B990" s="30"/>
      <c r="C990" s="30"/>
      <c r="D990" s="30"/>
      <c r="E990" s="30"/>
      <c r="M990" s="76"/>
    </row>
    <row r="991" spans="1:13" ht="12.75">
      <c r="A991" s="74"/>
      <c r="B991" s="30"/>
      <c r="C991" s="30"/>
      <c r="D991" s="30"/>
      <c r="E991" s="30"/>
      <c r="M991" s="76"/>
    </row>
    <row r="992" spans="1:13" ht="12.75">
      <c r="A992" s="74"/>
      <c r="B992" s="30"/>
      <c r="C992" s="30"/>
      <c r="D992" s="30"/>
      <c r="E992" s="30"/>
      <c r="M992" s="76"/>
    </row>
    <row r="993" spans="1:13" ht="12.75">
      <c r="A993" s="74"/>
      <c r="B993" s="30"/>
      <c r="C993" s="30"/>
      <c r="D993" s="30"/>
      <c r="E993" s="30"/>
      <c r="M993" s="76"/>
    </row>
    <row r="994" spans="1:13" ht="12.75">
      <c r="A994" s="74"/>
      <c r="B994" s="30"/>
      <c r="C994" s="30"/>
      <c r="D994" s="30"/>
      <c r="E994" s="30"/>
      <c r="M994" s="76"/>
    </row>
    <row r="995" spans="1:13" ht="12.75">
      <c r="A995" s="74"/>
      <c r="B995" s="30"/>
      <c r="C995" s="30"/>
      <c r="D995" s="30"/>
      <c r="E995" s="30"/>
      <c r="M995" s="76"/>
    </row>
    <row r="996" spans="1:13" ht="12.75">
      <c r="A996" s="74"/>
      <c r="B996" s="30"/>
      <c r="C996" s="30"/>
      <c r="D996" s="30"/>
      <c r="E996" s="30"/>
      <c r="M996" s="76"/>
    </row>
    <row r="997" spans="1:13" ht="12.75">
      <c r="A997" s="74"/>
      <c r="B997" s="30"/>
      <c r="C997" s="30"/>
      <c r="D997" s="30"/>
      <c r="E997" s="30"/>
      <c r="M997" s="76"/>
    </row>
    <row r="998" spans="1:13" ht="12.75">
      <c r="A998" s="74"/>
      <c r="B998" s="30"/>
      <c r="C998" s="30"/>
      <c r="D998" s="30"/>
      <c r="E998" s="30"/>
      <c r="M998" s="76"/>
    </row>
    <row r="999" spans="1:13" ht="12.75">
      <c r="A999" s="74"/>
      <c r="B999" s="30"/>
      <c r="C999" s="30"/>
      <c r="D999" s="30"/>
      <c r="E999" s="30"/>
      <c r="M999" s="76"/>
    </row>
    <row r="1000" spans="1:13" ht="12.75">
      <c r="A1000" s="74"/>
      <c r="B1000" s="30"/>
      <c r="C1000" s="30"/>
      <c r="D1000" s="30"/>
      <c r="E1000" s="30"/>
      <c r="M1000" s="76"/>
    </row>
    <row r="1001" spans="1:13" ht="12.75">
      <c r="A1001" s="74"/>
      <c r="B1001" s="30"/>
      <c r="C1001" s="30"/>
      <c r="D1001" s="30"/>
      <c r="E1001" s="30"/>
      <c r="M1001" s="76"/>
    </row>
    <row r="1002" spans="1:13" ht="12.75">
      <c r="A1002" s="74"/>
      <c r="B1002" s="30"/>
      <c r="C1002" s="30"/>
      <c r="D1002" s="30"/>
      <c r="E1002" s="30"/>
      <c r="M1002" s="76"/>
    </row>
    <row r="1003" spans="1:13" ht="12.75">
      <c r="A1003" s="74"/>
      <c r="B1003" s="30"/>
      <c r="C1003" s="30"/>
      <c r="D1003" s="30"/>
      <c r="E1003" s="30"/>
      <c r="M1003" s="76"/>
    </row>
    <row r="1004" spans="1:13" ht="12.75">
      <c r="A1004" s="74"/>
      <c r="B1004" s="30"/>
      <c r="C1004" s="30"/>
      <c r="D1004" s="30"/>
      <c r="E1004" s="30"/>
      <c r="M1004" s="76"/>
    </row>
    <row r="1005" spans="1:13" ht="12.75">
      <c r="A1005" s="74"/>
      <c r="B1005" s="30"/>
      <c r="C1005" s="30"/>
      <c r="D1005" s="30"/>
      <c r="E1005" s="30"/>
      <c r="M1005" s="76"/>
    </row>
  </sheetData>
  <mergeCells count="11">
    <mergeCell ref="C43:C45"/>
    <mergeCell ref="I19:I21"/>
    <mergeCell ref="I14:I16"/>
    <mergeCell ref="I31:I33"/>
    <mergeCell ref="I28:I30"/>
    <mergeCell ref="C40:C42"/>
    <mergeCell ref="B25:B27"/>
    <mergeCell ref="B14:B21"/>
    <mergeCell ref="C14:C16"/>
    <mergeCell ref="C19:C21"/>
    <mergeCell ref="B28:B39"/>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
  <sheetViews>
    <sheetView workbookViewId="0"/>
  </sheetViews>
  <sheetFormatPr defaultColWidth="14.42578125" defaultRowHeight="15.75" customHeight="1"/>
  <cols>
    <col min="7" max="7" width="18.7109375" customWidth="1"/>
  </cols>
  <sheetData>
    <row r="1" spans="1:22" ht="15.75" customHeight="1">
      <c r="A1" s="1" t="s">
        <v>1341</v>
      </c>
      <c r="T1" s="1">
        <v>340</v>
      </c>
      <c r="V1" s="1"/>
    </row>
    <row r="2" spans="1:22" ht="15.75" customHeight="1">
      <c r="V2" s="1"/>
    </row>
    <row r="3" spans="1:22" ht="15.75" customHeight="1">
      <c r="A3" s="114" t="s">
        <v>1</v>
      </c>
      <c r="B3" s="114" t="s">
        <v>659</v>
      </c>
      <c r="C3" s="114" t="s">
        <v>660</v>
      </c>
      <c r="D3" s="114" t="s">
        <v>661</v>
      </c>
      <c r="E3" s="114" t="s">
        <v>1032</v>
      </c>
      <c r="F3" s="110" t="s">
        <v>1342</v>
      </c>
      <c r="G3" s="110" t="s">
        <v>1295</v>
      </c>
      <c r="H3" s="114" t="s">
        <v>97</v>
      </c>
      <c r="I3" s="114" t="s">
        <v>664</v>
      </c>
      <c r="J3" s="114" t="s">
        <v>665</v>
      </c>
      <c r="K3" s="114" t="s">
        <v>666</v>
      </c>
      <c r="L3" s="114" t="s">
        <v>667</v>
      </c>
      <c r="N3" s="1" t="s">
        <v>6</v>
      </c>
      <c r="O3" s="1" t="s">
        <v>7</v>
      </c>
      <c r="P3" s="1" t="s">
        <v>8</v>
      </c>
      <c r="Q3" s="1" t="s">
        <v>9</v>
      </c>
      <c r="R3" s="1" t="s">
        <v>10</v>
      </c>
      <c r="S3" s="1"/>
      <c r="T3" s="1" t="s">
        <v>1297</v>
      </c>
      <c r="U3" s="1" t="s">
        <v>1332</v>
      </c>
      <c r="V3" s="1"/>
    </row>
    <row r="4" spans="1:22" ht="15.75" customHeight="1">
      <c r="A4" s="114" t="s">
        <v>962</v>
      </c>
      <c r="B4" s="114"/>
      <c r="C4" s="114"/>
      <c r="D4" s="114"/>
      <c r="E4" s="114"/>
      <c r="F4" s="110"/>
      <c r="G4" s="114"/>
      <c r="H4" s="114"/>
      <c r="I4" s="114"/>
      <c r="J4" s="114"/>
      <c r="L4" s="114"/>
    </row>
    <row r="5" spans="1:22" ht="15.75" customHeight="1">
      <c r="A5" s="114" t="s">
        <v>17</v>
      </c>
      <c r="B5" s="110" t="s">
        <v>832</v>
      </c>
      <c r="C5" s="111">
        <v>4</v>
      </c>
      <c r="D5" s="127">
        <f t="shared" ref="D5:D16" si="0">C5+J5/1000</f>
        <v>4.12</v>
      </c>
      <c r="E5" s="114" t="s">
        <v>692</v>
      </c>
      <c r="F5" s="110">
        <v>1</v>
      </c>
      <c r="G5" s="112" t="s">
        <v>1121</v>
      </c>
      <c r="H5" s="111">
        <v>1</v>
      </c>
      <c r="I5" s="111">
        <v>10</v>
      </c>
      <c r="J5" s="112">
        <v>120</v>
      </c>
      <c r="K5" s="112">
        <v>10</v>
      </c>
      <c r="L5" s="111"/>
      <c r="N5" s="1">
        <v>12859.7</v>
      </c>
      <c r="O5" s="1"/>
      <c r="P5" s="1">
        <v>409</v>
      </c>
      <c r="Q5" s="1">
        <v>717.7</v>
      </c>
      <c r="R5" s="1">
        <v>236.3</v>
      </c>
      <c r="S5" s="1"/>
      <c r="T5">
        <f t="shared" ref="T5:T16" si="1">$T$1/P5*Q5</f>
        <v>596.62102689486562</v>
      </c>
      <c r="U5">
        <f>AVERAGE(T5:T7)</f>
        <v>733.22295090866828</v>
      </c>
    </row>
    <row r="6" spans="1:22" ht="15.75" customHeight="1">
      <c r="A6" s="114" t="s">
        <v>18</v>
      </c>
      <c r="B6" s="110" t="s">
        <v>832</v>
      </c>
      <c r="C6" s="111">
        <v>4</v>
      </c>
      <c r="D6" s="127">
        <f t="shared" si="0"/>
        <v>4.12</v>
      </c>
      <c r="E6" s="114" t="s">
        <v>692</v>
      </c>
      <c r="F6" s="110">
        <v>1</v>
      </c>
      <c r="G6" s="112" t="s">
        <v>1121</v>
      </c>
      <c r="H6" s="111">
        <v>1</v>
      </c>
      <c r="I6" s="111">
        <v>10</v>
      </c>
      <c r="J6" s="112">
        <v>120</v>
      </c>
      <c r="K6" s="112">
        <v>10</v>
      </c>
      <c r="L6" s="111"/>
      <c r="N6" s="1">
        <v>11934.1</v>
      </c>
      <c r="P6" s="1">
        <v>463.4</v>
      </c>
      <c r="Q6" s="1">
        <v>1118.2</v>
      </c>
      <c r="R6" s="1">
        <v>77.3</v>
      </c>
      <c r="S6" s="1"/>
      <c r="T6">
        <f t="shared" si="1"/>
        <v>820.43159257660773</v>
      </c>
    </row>
    <row r="7" spans="1:22" ht="15.75" customHeight="1">
      <c r="A7" s="114" t="s">
        <v>19</v>
      </c>
      <c r="B7" s="110" t="s">
        <v>832</v>
      </c>
      <c r="C7" s="111">
        <v>4</v>
      </c>
      <c r="D7" s="127">
        <f t="shared" si="0"/>
        <v>4.12</v>
      </c>
      <c r="E7" s="114" t="s">
        <v>692</v>
      </c>
      <c r="F7" s="110">
        <v>1</v>
      </c>
      <c r="G7" s="112" t="s">
        <v>1121</v>
      </c>
      <c r="H7" s="111">
        <v>1</v>
      </c>
      <c r="I7" s="111">
        <v>10</v>
      </c>
      <c r="J7" s="112">
        <v>120</v>
      </c>
      <c r="K7" s="112">
        <v>10</v>
      </c>
      <c r="L7" s="111"/>
      <c r="N7" s="1">
        <v>12874.6</v>
      </c>
      <c r="P7" s="1">
        <v>380.7</v>
      </c>
      <c r="Q7" s="1">
        <v>876.3</v>
      </c>
      <c r="R7" s="1">
        <v>162.69999999999999</v>
      </c>
      <c r="S7" s="1"/>
      <c r="T7">
        <f t="shared" si="1"/>
        <v>782.61623325453115</v>
      </c>
    </row>
    <row r="8" spans="1:22" ht="15.75" customHeight="1">
      <c r="A8" s="114" t="s">
        <v>20</v>
      </c>
      <c r="B8" s="110" t="s">
        <v>832</v>
      </c>
      <c r="C8" s="112">
        <v>4</v>
      </c>
      <c r="D8" s="127">
        <f t="shared" si="0"/>
        <v>4.12</v>
      </c>
      <c r="E8" s="114" t="s">
        <v>692</v>
      </c>
      <c r="F8" s="110">
        <v>1</v>
      </c>
      <c r="G8" s="112" t="s">
        <v>1121</v>
      </c>
      <c r="H8" s="112">
        <v>2</v>
      </c>
      <c r="I8" s="111">
        <v>10</v>
      </c>
      <c r="J8" s="112">
        <v>120</v>
      </c>
      <c r="K8" s="112">
        <v>10</v>
      </c>
      <c r="L8" s="111"/>
      <c r="N8" s="1">
        <v>13321.7</v>
      </c>
      <c r="P8" s="1">
        <v>372.7</v>
      </c>
      <c r="Q8" s="1">
        <v>827.7</v>
      </c>
      <c r="R8" s="1">
        <v>181.8</v>
      </c>
      <c r="S8" s="1"/>
      <c r="T8">
        <f t="shared" si="1"/>
        <v>755.07915213308297</v>
      </c>
      <c r="U8">
        <f>AVERAGE(T8:T10)</f>
        <v>591.79137234941072</v>
      </c>
    </row>
    <row r="9" spans="1:22" ht="15.75" customHeight="1">
      <c r="A9" s="114" t="s">
        <v>21</v>
      </c>
      <c r="B9" s="110" t="s">
        <v>832</v>
      </c>
      <c r="C9" s="112">
        <v>4</v>
      </c>
      <c r="D9" s="127">
        <f t="shared" si="0"/>
        <v>4.12</v>
      </c>
      <c r="E9" s="114" t="s">
        <v>692</v>
      </c>
      <c r="F9" s="110">
        <v>1</v>
      </c>
      <c r="G9" s="112" t="s">
        <v>1121</v>
      </c>
      <c r="H9" s="112">
        <v>2</v>
      </c>
      <c r="I9" s="111">
        <v>10</v>
      </c>
      <c r="J9" s="112">
        <v>120</v>
      </c>
      <c r="K9" s="112">
        <v>10</v>
      </c>
      <c r="L9" s="111"/>
      <c r="N9" s="1">
        <v>13601.8</v>
      </c>
      <c r="P9" s="1">
        <v>379.9</v>
      </c>
      <c r="Q9" s="1">
        <v>689.4</v>
      </c>
      <c r="R9" s="1">
        <v>230.4</v>
      </c>
      <c r="S9" s="1"/>
      <c r="T9">
        <f t="shared" si="1"/>
        <v>616.993945775204</v>
      </c>
    </row>
    <row r="10" spans="1:22" ht="15.75" customHeight="1">
      <c r="A10" s="114" t="s">
        <v>22</v>
      </c>
      <c r="B10" s="110" t="s">
        <v>832</v>
      </c>
      <c r="C10" s="112">
        <v>4</v>
      </c>
      <c r="D10" s="127">
        <f t="shared" si="0"/>
        <v>4.12</v>
      </c>
      <c r="E10" s="114" t="s">
        <v>692</v>
      </c>
      <c r="F10" s="110">
        <v>1</v>
      </c>
      <c r="G10" s="112" t="s">
        <v>1121</v>
      </c>
      <c r="H10" s="112">
        <v>2</v>
      </c>
      <c r="I10" s="111">
        <v>10</v>
      </c>
      <c r="J10" s="112">
        <v>120</v>
      </c>
      <c r="K10" s="112">
        <v>10</v>
      </c>
      <c r="L10" s="111"/>
      <c r="N10" s="1">
        <v>13962</v>
      </c>
      <c r="P10" s="1">
        <v>402.3</v>
      </c>
      <c r="Q10" s="1">
        <v>477.2</v>
      </c>
      <c r="R10" s="1">
        <v>301.5</v>
      </c>
      <c r="S10" s="1"/>
      <c r="T10">
        <f t="shared" si="1"/>
        <v>403.30101913994531</v>
      </c>
    </row>
    <row r="11" spans="1:22" ht="15.75" customHeight="1">
      <c r="A11" s="110" t="s">
        <v>23</v>
      </c>
      <c r="B11" s="110" t="s">
        <v>832</v>
      </c>
      <c r="C11" s="112">
        <v>4</v>
      </c>
      <c r="D11" s="127">
        <f t="shared" si="0"/>
        <v>4.12</v>
      </c>
      <c r="E11" s="114" t="s">
        <v>692</v>
      </c>
      <c r="F11" s="110">
        <v>1</v>
      </c>
      <c r="G11" s="112" t="s">
        <v>1121</v>
      </c>
      <c r="H11" s="112">
        <v>3</v>
      </c>
      <c r="I11" s="111">
        <v>10</v>
      </c>
      <c r="J11" s="112">
        <v>120</v>
      </c>
      <c r="K11" s="112">
        <v>10</v>
      </c>
      <c r="L11" s="111"/>
      <c r="N11" s="1">
        <v>12660.8</v>
      </c>
      <c r="P11" s="1">
        <v>346.5</v>
      </c>
      <c r="Q11" s="1">
        <v>984.2</v>
      </c>
      <c r="R11" s="1">
        <v>120.3</v>
      </c>
      <c r="S11" s="1"/>
      <c r="T11">
        <f t="shared" si="1"/>
        <v>965.73737373737379</v>
      </c>
      <c r="U11">
        <f>AVERAGE(T11:T13)</f>
        <v>922.10210805883526</v>
      </c>
    </row>
    <row r="12" spans="1:22" ht="15.75" customHeight="1">
      <c r="A12" s="110" t="s">
        <v>24</v>
      </c>
      <c r="B12" s="110" t="s">
        <v>832</v>
      </c>
      <c r="C12" s="112">
        <v>4</v>
      </c>
      <c r="D12" s="127">
        <f t="shared" si="0"/>
        <v>4.12</v>
      </c>
      <c r="E12" s="114" t="s">
        <v>692</v>
      </c>
      <c r="F12" s="110">
        <v>1</v>
      </c>
      <c r="G12" s="112" t="s">
        <v>1121</v>
      </c>
      <c r="H12" s="112">
        <v>3</v>
      </c>
      <c r="I12" s="111">
        <v>10</v>
      </c>
      <c r="J12" s="112">
        <v>120</v>
      </c>
      <c r="K12" s="112">
        <v>10</v>
      </c>
      <c r="L12" s="111"/>
      <c r="N12" s="1">
        <v>11798.5</v>
      </c>
      <c r="P12" s="1">
        <v>457.1</v>
      </c>
      <c r="Q12" s="1">
        <v>936.7</v>
      </c>
      <c r="R12" s="1">
        <v>116.8</v>
      </c>
      <c r="S12" s="1"/>
      <c r="T12">
        <f t="shared" si="1"/>
        <v>696.7359439947495</v>
      </c>
    </row>
    <row r="13" spans="1:22" ht="15.75" customHeight="1">
      <c r="A13" s="110" t="s">
        <v>25</v>
      </c>
      <c r="B13" s="110" t="s">
        <v>832</v>
      </c>
      <c r="C13" s="112">
        <v>4</v>
      </c>
      <c r="D13" s="127">
        <f t="shared" si="0"/>
        <v>4.12</v>
      </c>
      <c r="E13" s="114" t="s">
        <v>692</v>
      </c>
      <c r="F13" s="110">
        <v>1</v>
      </c>
      <c r="G13" s="112" t="s">
        <v>1121</v>
      </c>
      <c r="H13" s="112">
        <v>3</v>
      </c>
      <c r="I13" s="111">
        <v>10</v>
      </c>
      <c r="J13" s="112">
        <v>120</v>
      </c>
      <c r="K13" s="112">
        <v>10</v>
      </c>
      <c r="L13" s="111"/>
      <c r="N13" s="1">
        <v>11920.9</v>
      </c>
      <c r="P13" s="1">
        <v>356.9</v>
      </c>
      <c r="Q13" s="1">
        <v>1158.7</v>
      </c>
      <c r="R13" s="1">
        <v>58.8</v>
      </c>
      <c r="S13" s="1"/>
      <c r="T13">
        <f t="shared" si="1"/>
        <v>1103.8330064443824</v>
      </c>
    </row>
    <row r="14" spans="1:22" ht="15.75" customHeight="1">
      <c r="A14" s="110" t="s">
        <v>26</v>
      </c>
      <c r="B14" s="110" t="s">
        <v>591</v>
      </c>
      <c r="C14" s="112">
        <v>4</v>
      </c>
      <c r="D14" s="127">
        <f t="shared" si="0"/>
        <v>4.12</v>
      </c>
      <c r="E14" s="114" t="s">
        <v>692</v>
      </c>
      <c r="F14" s="110">
        <v>1</v>
      </c>
      <c r="G14" s="112" t="s">
        <v>1121</v>
      </c>
      <c r="H14" s="112">
        <v>4</v>
      </c>
      <c r="I14" s="111">
        <v>10</v>
      </c>
      <c r="J14" s="112">
        <v>120</v>
      </c>
      <c r="K14" s="112">
        <v>10</v>
      </c>
      <c r="L14" s="111"/>
      <c r="N14" s="1">
        <v>12672.9</v>
      </c>
      <c r="P14" s="1">
        <v>335.1</v>
      </c>
      <c r="Q14" s="1">
        <v>810.4</v>
      </c>
      <c r="R14" s="1">
        <v>143.69999999999999</v>
      </c>
      <c r="S14" s="1"/>
      <c r="T14">
        <f t="shared" si="1"/>
        <v>822.25007460459551</v>
      </c>
      <c r="U14">
        <f>AVERAGE(T14:T16)</f>
        <v>794.1746838779568</v>
      </c>
    </row>
    <row r="15" spans="1:22" ht="15.75" customHeight="1">
      <c r="A15" s="110" t="s">
        <v>27</v>
      </c>
      <c r="B15" s="110" t="s">
        <v>591</v>
      </c>
      <c r="C15" s="112">
        <v>4</v>
      </c>
      <c r="D15" s="127">
        <f t="shared" si="0"/>
        <v>4.12</v>
      </c>
      <c r="E15" s="114" t="s">
        <v>692</v>
      </c>
      <c r="F15" s="110">
        <v>1</v>
      </c>
      <c r="G15" s="112" t="s">
        <v>1121</v>
      </c>
      <c r="H15" s="112">
        <v>4</v>
      </c>
      <c r="I15" s="111">
        <v>10</v>
      </c>
      <c r="J15" s="112">
        <v>120</v>
      </c>
      <c r="K15" s="112">
        <v>10</v>
      </c>
      <c r="L15" s="111"/>
      <c r="N15" s="1">
        <v>12681.1</v>
      </c>
      <c r="P15" s="1">
        <v>334.8</v>
      </c>
      <c r="Q15" s="1">
        <v>753.5</v>
      </c>
      <c r="R15" s="1">
        <v>156.30000000000001</v>
      </c>
      <c r="S15" s="1"/>
      <c r="T15">
        <f t="shared" si="1"/>
        <v>765.20310633213853</v>
      </c>
    </row>
    <row r="16" spans="1:22" ht="15.75" customHeight="1">
      <c r="A16" s="110" t="s">
        <v>28</v>
      </c>
      <c r="B16" s="110" t="s">
        <v>591</v>
      </c>
      <c r="C16" s="112">
        <v>4</v>
      </c>
      <c r="D16" s="127">
        <f t="shared" si="0"/>
        <v>4.12</v>
      </c>
      <c r="E16" s="114" t="s">
        <v>692</v>
      </c>
      <c r="F16" s="110">
        <v>1</v>
      </c>
      <c r="G16" s="112" t="s">
        <v>1121</v>
      </c>
      <c r="H16" s="112">
        <v>4</v>
      </c>
      <c r="I16" s="111">
        <v>10</v>
      </c>
      <c r="J16" s="112">
        <v>120</v>
      </c>
      <c r="K16" s="112">
        <v>10</v>
      </c>
      <c r="L16" s="111"/>
      <c r="N16" s="1">
        <v>12524.9</v>
      </c>
      <c r="P16" s="1">
        <v>345.7</v>
      </c>
      <c r="Q16" s="1">
        <v>808.4</v>
      </c>
      <c r="R16" s="1">
        <v>146.80000000000001</v>
      </c>
      <c r="S16" s="1"/>
      <c r="T16">
        <f t="shared" si="1"/>
        <v>795.07087069713634</v>
      </c>
    </row>
    <row r="17" spans="1:21" ht="15.75" customHeight="1">
      <c r="A17" s="114"/>
      <c r="S17" s="1"/>
    </row>
    <row r="18" spans="1:21" ht="15.75" customHeight="1">
      <c r="A18" s="114"/>
      <c r="B18" s="114" t="s">
        <v>300</v>
      </c>
      <c r="C18" s="127">
        <f>SUM(C5:C17)</f>
        <v>48</v>
      </c>
      <c r="I18" s="1" t="s">
        <v>300</v>
      </c>
      <c r="J18">
        <f>SUM(J5:J17)</f>
        <v>1440</v>
      </c>
      <c r="S18" s="1"/>
    </row>
    <row r="19" spans="1:21" ht="15.75" customHeight="1">
      <c r="A19" s="114"/>
      <c r="S19" s="1"/>
    </row>
    <row r="20" spans="1:21" ht="15.75" customHeight="1">
      <c r="A20" s="125" t="s">
        <v>1040</v>
      </c>
      <c r="J20" s="125" t="s">
        <v>968</v>
      </c>
      <c r="K20" s="114"/>
      <c r="L20" s="114"/>
    </row>
    <row r="21" spans="1:21" ht="15.75" customHeight="1">
      <c r="A21" s="1" t="s">
        <v>1343</v>
      </c>
      <c r="J21" s="114" t="s">
        <v>970</v>
      </c>
      <c r="K21" s="114" t="s">
        <v>47</v>
      </c>
      <c r="L21" s="114" t="s">
        <v>300</v>
      </c>
    </row>
    <row r="22" spans="1:21" ht="15.75" customHeight="1">
      <c r="A22" s="1" t="s">
        <v>1344</v>
      </c>
      <c r="I22" s="1" t="s">
        <v>1237</v>
      </c>
      <c r="J22" s="125" t="s">
        <v>301</v>
      </c>
      <c r="K22" s="126">
        <v>0.5</v>
      </c>
    </row>
    <row r="23" spans="1:21" ht="15.75" customHeight="1">
      <c r="A23" s="1" t="s">
        <v>1345</v>
      </c>
      <c r="J23" s="112">
        <v>200</v>
      </c>
      <c r="K23" s="127">
        <f>J23/K22-J23</f>
        <v>200</v>
      </c>
      <c r="L23" s="127">
        <f>SUM(J23:K23)</f>
        <v>400</v>
      </c>
      <c r="U23" s="1"/>
    </row>
    <row r="24" spans="1:21" ht="15.75" customHeight="1">
      <c r="A24" s="1" t="s">
        <v>1346</v>
      </c>
      <c r="I24" s="1" t="s">
        <v>1324</v>
      </c>
      <c r="J24" s="168" t="s">
        <v>1347</v>
      </c>
      <c r="K24" s="112">
        <v>0.5</v>
      </c>
      <c r="L24" s="127"/>
      <c r="U24" s="1"/>
    </row>
    <row r="25" spans="1:21" ht="15.75" customHeight="1">
      <c r="A25" s="1" t="s">
        <v>1348</v>
      </c>
      <c r="J25" s="112">
        <v>200</v>
      </c>
      <c r="K25" s="127">
        <f>J25/K24-J25</f>
        <v>200</v>
      </c>
      <c r="L25" s="127">
        <f>SUM(J25:K25)</f>
        <v>400</v>
      </c>
      <c r="U25" s="1"/>
    </row>
    <row r="26" spans="1:21" ht="15.75" customHeight="1">
      <c r="A26" s="1" t="s">
        <v>1349</v>
      </c>
      <c r="I26" s="1" t="s">
        <v>1350</v>
      </c>
      <c r="J26" s="5" t="s">
        <v>1351</v>
      </c>
      <c r="K26" s="1">
        <v>0.5</v>
      </c>
      <c r="U26" s="1"/>
    </row>
    <row r="27" spans="1:21" ht="15.75" customHeight="1">
      <c r="A27" s="1" t="s">
        <v>1352</v>
      </c>
      <c r="J27" s="112">
        <v>200</v>
      </c>
      <c r="K27" s="127">
        <f>J27/K26-J27</f>
        <v>200</v>
      </c>
      <c r="L27" s="127">
        <f>SUM(J27:K27)</f>
        <v>400</v>
      </c>
      <c r="U27" s="1"/>
    </row>
    <row r="28" spans="1:21" ht="15.75" customHeight="1">
      <c r="A28" s="1"/>
      <c r="I28" s="1" t="s">
        <v>1353</v>
      </c>
      <c r="J28" s="5" t="s">
        <v>1354</v>
      </c>
      <c r="K28" s="1">
        <v>0.5</v>
      </c>
    </row>
    <row r="29" spans="1:21" ht="15.75" customHeight="1">
      <c r="J29" s="112">
        <v>200</v>
      </c>
      <c r="K29" s="127">
        <f>J29/K28-J29</f>
        <v>200</v>
      </c>
      <c r="L29" s="127">
        <f>SUM(J29:K29)</f>
        <v>400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workbookViewId="0"/>
  </sheetViews>
  <sheetFormatPr defaultColWidth="14.42578125" defaultRowHeight="15.75" customHeight="1"/>
  <cols>
    <col min="6" max="6" width="24.5703125" customWidth="1"/>
  </cols>
  <sheetData>
    <row r="1" spans="1:21" ht="15.75" customHeight="1">
      <c r="A1" s="1" t="s">
        <v>1330</v>
      </c>
      <c r="T1" s="1">
        <v>340</v>
      </c>
      <c r="U1" s="1"/>
    </row>
    <row r="2" spans="1:21" ht="15.75" customHeight="1">
      <c r="U2" s="1"/>
    </row>
    <row r="3" spans="1:21" ht="15.75" customHeight="1">
      <c r="A3" s="114" t="s">
        <v>1</v>
      </c>
      <c r="B3" s="114" t="s">
        <v>659</v>
      </c>
      <c r="C3" s="114" t="s">
        <v>660</v>
      </c>
      <c r="D3" s="114" t="s">
        <v>661</v>
      </c>
      <c r="E3" s="114" t="s">
        <v>1032</v>
      </c>
      <c r="F3" s="110" t="s">
        <v>1331</v>
      </c>
      <c r="G3" s="110" t="s">
        <v>1295</v>
      </c>
      <c r="H3" s="114" t="s">
        <v>97</v>
      </c>
      <c r="I3" s="114" t="s">
        <v>664</v>
      </c>
      <c r="J3" s="114" t="s">
        <v>665</v>
      </c>
      <c r="K3" s="114" t="s">
        <v>666</v>
      </c>
      <c r="L3" s="114" t="s">
        <v>667</v>
      </c>
      <c r="N3" s="1" t="s">
        <v>6</v>
      </c>
      <c r="O3" s="1" t="s">
        <v>7</v>
      </c>
      <c r="P3" s="1" t="s">
        <v>8</v>
      </c>
      <c r="Q3" s="1" t="s">
        <v>9</v>
      </c>
      <c r="R3" s="1" t="s">
        <v>10</v>
      </c>
      <c r="T3" s="1" t="s">
        <v>1297</v>
      </c>
      <c r="U3" s="1" t="s">
        <v>1332</v>
      </c>
    </row>
    <row r="4" spans="1:21" ht="15.75" customHeight="1">
      <c r="A4" s="114" t="s">
        <v>962</v>
      </c>
      <c r="B4" s="114"/>
      <c r="C4" s="114"/>
      <c r="D4" s="114"/>
      <c r="E4" s="114"/>
      <c r="F4" s="114"/>
      <c r="G4" s="114"/>
      <c r="H4" s="114"/>
      <c r="I4" s="114"/>
      <c r="J4" s="114"/>
      <c r="L4" s="114"/>
    </row>
    <row r="5" spans="1:21" ht="15.75" customHeight="1">
      <c r="A5" s="114" t="s">
        <v>17</v>
      </c>
      <c r="B5" s="110" t="s">
        <v>832</v>
      </c>
      <c r="C5" s="111">
        <v>4</v>
      </c>
      <c r="D5" s="127">
        <f t="shared" ref="D5:D16" si="0">C5+J5/1000</f>
        <v>4.12</v>
      </c>
      <c r="E5" s="114" t="s">
        <v>692</v>
      </c>
      <c r="F5" s="112">
        <v>1</v>
      </c>
      <c r="G5" s="112" t="s">
        <v>1121</v>
      </c>
      <c r="H5" s="111">
        <v>1</v>
      </c>
      <c r="I5" s="111">
        <v>10</v>
      </c>
      <c r="J5" s="112">
        <v>120</v>
      </c>
      <c r="K5" s="112">
        <v>10</v>
      </c>
      <c r="L5" s="112">
        <v>50</v>
      </c>
      <c r="N5" s="1">
        <v>13220.1</v>
      </c>
      <c r="O5" s="1">
        <v>4.9000000000000004</v>
      </c>
      <c r="P5" s="1">
        <v>463.8</v>
      </c>
      <c r="Q5" s="1">
        <v>741.8</v>
      </c>
      <c r="R5" s="1">
        <v>199.2</v>
      </c>
      <c r="T5">
        <f t="shared" ref="T5:T16" si="1">$T$1/P5*Q5</f>
        <v>543.79473911168611</v>
      </c>
      <c r="U5">
        <f>AVERAGE(T5:T7)</f>
        <v>644.31229245061979</v>
      </c>
    </row>
    <row r="6" spans="1:21" ht="15.75" customHeight="1">
      <c r="A6" s="114" t="s">
        <v>18</v>
      </c>
      <c r="B6" s="110" t="s">
        <v>832</v>
      </c>
      <c r="C6" s="111">
        <v>4</v>
      </c>
      <c r="D6" s="127">
        <f t="shared" si="0"/>
        <v>4.12</v>
      </c>
      <c r="E6" s="114" t="s">
        <v>692</v>
      </c>
      <c r="F6" s="112">
        <v>1</v>
      </c>
      <c r="G6" s="112" t="s">
        <v>1121</v>
      </c>
      <c r="H6" s="111">
        <v>1</v>
      </c>
      <c r="I6" s="111">
        <v>10</v>
      </c>
      <c r="J6" s="112">
        <v>120</v>
      </c>
      <c r="K6" s="112">
        <v>10</v>
      </c>
      <c r="L6" s="112">
        <v>50</v>
      </c>
      <c r="N6" s="1">
        <v>12059.6</v>
      </c>
      <c r="O6" s="1">
        <v>13</v>
      </c>
      <c r="P6" s="1">
        <v>545.6</v>
      </c>
      <c r="Q6" s="1">
        <v>880.3</v>
      </c>
      <c r="R6" s="1">
        <v>132.9</v>
      </c>
      <c r="T6">
        <f t="shared" si="1"/>
        <v>548.57404692082105</v>
      </c>
    </row>
    <row r="7" spans="1:21" ht="15.75" customHeight="1">
      <c r="A7" s="114" t="s">
        <v>19</v>
      </c>
      <c r="B7" s="110" t="s">
        <v>832</v>
      </c>
      <c r="C7" s="111">
        <v>4</v>
      </c>
      <c r="D7" s="127">
        <f t="shared" si="0"/>
        <v>4.12</v>
      </c>
      <c r="E7" s="114" t="s">
        <v>692</v>
      </c>
      <c r="F7" s="112">
        <v>1</v>
      </c>
      <c r="G7" s="112" t="s">
        <v>1121</v>
      </c>
      <c r="H7" s="111">
        <v>1</v>
      </c>
      <c r="I7" s="111">
        <v>10</v>
      </c>
      <c r="J7" s="112">
        <v>120</v>
      </c>
      <c r="K7" s="112">
        <v>10</v>
      </c>
      <c r="L7" s="112">
        <v>50</v>
      </c>
      <c r="N7" s="1">
        <v>12581.4</v>
      </c>
      <c r="P7" s="1">
        <v>376.7</v>
      </c>
      <c r="Q7" s="1">
        <v>931.3</v>
      </c>
      <c r="R7" s="1">
        <v>137.69999999999999</v>
      </c>
      <c r="T7">
        <f t="shared" si="1"/>
        <v>840.56809131935222</v>
      </c>
    </row>
    <row r="8" spans="1:21" ht="15.75" customHeight="1">
      <c r="A8" s="114" t="s">
        <v>20</v>
      </c>
      <c r="B8" s="110" t="s">
        <v>832</v>
      </c>
      <c r="C8" s="112">
        <v>4</v>
      </c>
      <c r="D8" s="127">
        <f t="shared" si="0"/>
        <v>4.12</v>
      </c>
      <c r="E8" s="114" t="s">
        <v>692</v>
      </c>
      <c r="F8" s="112">
        <v>2.5</v>
      </c>
      <c r="G8" s="112" t="s">
        <v>1121</v>
      </c>
      <c r="H8" s="111">
        <v>1</v>
      </c>
      <c r="I8" s="111">
        <v>10</v>
      </c>
      <c r="J8" s="112">
        <v>120</v>
      </c>
      <c r="K8" s="112">
        <v>10</v>
      </c>
      <c r="L8" s="112">
        <v>50</v>
      </c>
      <c r="N8" s="1">
        <v>12339.3</v>
      </c>
      <c r="P8" s="1">
        <v>338.7</v>
      </c>
      <c r="Q8" s="1">
        <v>1069.2</v>
      </c>
      <c r="R8" s="1">
        <v>100.6</v>
      </c>
      <c r="T8">
        <f t="shared" si="1"/>
        <v>1073.3038086802483</v>
      </c>
      <c r="U8">
        <f>AVERAGE(T8:T10)</f>
        <v>857.65867900390128</v>
      </c>
    </row>
    <row r="9" spans="1:21" ht="15.75" customHeight="1">
      <c r="A9" s="114" t="s">
        <v>21</v>
      </c>
      <c r="B9" s="110" t="s">
        <v>832</v>
      </c>
      <c r="C9" s="112">
        <v>4</v>
      </c>
      <c r="D9" s="127">
        <f t="shared" si="0"/>
        <v>4.12</v>
      </c>
      <c r="E9" s="114" t="s">
        <v>692</v>
      </c>
      <c r="F9" s="112">
        <v>2.5</v>
      </c>
      <c r="G9" s="112" t="s">
        <v>1121</v>
      </c>
      <c r="H9" s="111">
        <v>1</v>
      </c>
      <c r="I9" s="111">
        <v>10</v>
      </c>
      <c r="J9" s="112">
        <v>120</v>
      </c>
      <c r="K9" s="112">
        <v>10</v>
      </c>
      <c r="L9" s="112">
        <v>50</v>
      </c>
      <c r="N9" s="1">
        <v>13147.4</v>
      </c>
      <c r="P9" s="1">
        <v>387</v>
      </c>
      <c r="Q9" s="1">
        <v>683</v>
      </c>
      <c r="R9" s="1">
        <v>210.9</v>
      </c>
      <c r="T9">
        <f t="shared" si="1"/>
        <v>600.0516795865633</v>
      </c>
    </row>
    <row r="10" spans="1:21" ht="15.75" customHeight="1">
      <c r="A10" s="114" t="s">
        <v>22</v>
      </c>
      <c r="B10" s="110" t="s">
        <v>832</v>
      </c>
      <c r="C10" s="112">
        <v>4</v>
      </c>
      <c r="D10" s="127">
        <f t="shared" si="0"/>
        <v>4.12</v>
      </c>
      <c r="E10" s="114" t="s">
        <v>692</v>
      </c>
      <c r="F10" s="112">
        <v>2.5</v>
      </c>
      <c r="G10" s="112" t="s">
        <v>1121</v>
      </c>
      <c r="H10" s="111">
        <v>1</v>
      </c>
      <c r="I10" s="111">
        <v>10</v>
      </c>
      <c r="J10" s="112">
        <v>120</v>
      </c>
      <c r="K10" s="112">
        <v>10</v>
      </c>
      <c r="L10" s="112">
        <v>50</v>
      </c>
      <c r="N10" s="1">
        <v>12651.8</v>
      </c>
      <c r="P10" s="1">
        <v>342.6</v>
      </c>
      <c r="Q10" s="1">
        <v>906.5</v>
      </c>
      <c r="R10" s="1">
        <v>141.69999999999999</v>
      </c>
      <c r="T10">
        <f t="shared" si="1"/>
        <v>899.62054874489195</v>
      </c>
    </row>
    <row r="11" spans="1:21" ht="15.75" customHeight="1">
      <c r="A11" s="110" t="s">
        <v>23</v>
      </c>
      <c r="B11" s="110" t="s">
        <v>832</v>
      </c>
      <c r="C11" s="112">
        <v>4</v>
      </c>
      <c r="D11" s="127">
        <f t="shared" si="0"/>
        <v>4.12</v>
      </c>
      <c r="E11" s="114" t="s">
        <v>692</v>
      </c>
      <c r="F11" s="112">
        <v>5</v>
      </c>
      <c r="G11" s="112" t="s">
        <v>1121</v>
      </c>
      <c r="H11" s="111">
        <v>1</v>
      </c>
      <c r="I11" s="111">
        <v>10</v>
      </c>
      <c r="J11" s="112">
        <v>120</v>
      </c>
      <c r="K11" s="112">
        <v>10</v>
      </c>
      <c r="L11" s="112">
        <v>50</v>
      </c>
      <c r="N11" s="1">
        <v>12268</v>
      </c>
      <c r="P11" s="1">
        <v>331.4</v>
      </c>
      <c r="Q11" s="1">
        <v>1001.2</v>
      </c>
      <c r="R11" s="1">
        <v>110.6</v>
      </c>
      <c r="T11">
        <f t="shared" si="1"/>
        <v>1027.181653590827</v>
      </c>
      <c r="U11">
        <f>AVERAGE(T11:T13)</f>
        <v>862.04715537912796</v>
      </c>
    </row>
    <row r="12" spans="1:21" ht="15.75" customHeight="1">
      <c r="A12" s="110" t="s">
        <v>24</v>
      </c>
      <c r="B12" s="110" t="s">
        <v>832</v>
      </c>
      <c r="C12" s="112">
        <v>4</v>
      </c>
      <c r="D12" s="127">
        <f t="shared" si="0"/>
        <v>4.12</v>
      </c>
      <c r="E12" s="114" t="s">
        <v>692</v>
      </c>
      <c r="F12" s="112">
        <v>5</v>
      </c>
      <c r="G12" s="112" t="s">
        <v>1121</v>
      </c>
      <c r="H12" s="111">
        <v>1</v>
      </c>
      <c r="I12" s="111">
        <v>10</v>
      </c>
      <c r="J12" s="112">
        <v>120</v>
      </c>
      <c r="K12" s="112">
        <v>10</v>
      </c>
      <c r="L12" s="112">
        <v>50</v>
      </c>
      <c r="N12" s="1">
        <v>11895.9</v>
      </c>
      <c r="P12" s="1">
        <v>400.2</v>
      </c>
      <c r="Q12" s="1">
        <v>941.2</v>
      </c>
      <c r="R12" s="1">
        <v>116.7</v>
      </c>
      <c r="T12">
        <f t="shared" si="1"/>
        <v>799.62018990504748</v>
      </c>
    </row>
    <row r="13" spans="1:21" ht="15.75" customHeight="1">
      <c r="A13" s="110" t="s">
        <v>25</v>
      </c>
      <c r="B13" s="110" t="s">
        <v>832</v>
      </c>
      <c r="C13" s="112">
        <v>4</v>
      </c>
      <c r="D13" s="127">
        <f t="shared" si="0"/>
        <v>4.12</v>
      </c>
      <c r="E13" s="114" t="s">
        <v>692</v>
      </c>
      <c r="F13" s="112">
        <v>5</v>
      </c>
      <c r="G13" s="112" t="s">
        <v>1121</v>
      </c>
      <c r="H13" s="111">
        <v>1</v>
      </c>
      <c r="I13" s="111">
        <v>10</v>
      </c>
      <c r="J13" s="112">
        <v>120</v>
      </c>
      <c r="K13" s="112">
        <v>10</v>
      </c>
      <c r="L13" s="112">
        <v>50</v>
      </c>
      <c r="N13" s="1">
        <v>12600.9</v>
      </c>
      <c r="P13" s="1">
        <v>360.4</v>
      </c>
      <c r="Q13" s="1">
        <v>804.9</v>
      </c>
      <c r="R13" s="1">
        <v>173.1</v>
      </c>
      <c r="T13">
        <f t="shared" si="1"/>
        <v>759.33962264150944</v>
      </c>
    </row>
    <row r="14" spans="1:21" ht="15.75" customHeight="1">
      <c r="A14" s="110" t="s">
        <v>26</v>
      </c>
      <c r="B14" s="110" t="s">
        <v>832</v>
      </c>
      <c r="C14" s="112">
        <v>4</v>
      </c>
      <c r="D14" s="127">
        <f t="shared" si="0"/>
        <v>4.12</v>
      </c>
      <c r="E14" s="114" t="s">
        <v>692</v>
      </c>
      <c r="F14" s="112">
        <v>72</v>
      </c>
      <c r="G14" s="112" t="s">
        <v>1121</v>
      </c>
      <c r="H14" s="111">
        <v>1</v>
      </c>
      <c r="I14" s="111">
        <v>10</v>
      </c>
      <c r="J14" s="112">
        <v>120</v>
      </c>
      <c r="K14" s="112">
        <v>10</v>
      </c>
      <c r="L14" s="112">
        <v>50</v>
      </c>
      <c r="N14" s="1">
        <v>12208.2</v>
      </c>
      <c r="P14" s="1">
        <v>338.1</v>
      </c>
      <c r="Q14" s="1">
        <v>1011.8</v>
      </c>
      <c r="R14" s="1">
        <v>95.3</v>
      </c>
      <c r="T14">
        <f t="shared" si="1"/>
        <v>1017.4859509020999</v>
      </c>
      <c r="U14">
        <f>AVERAGE(T14:T16)</f>
        <v>969.40099627203278</v>
      </c>
    </row>
    <row r="15" spans="1:21" ht="15.75" customHeight="1">
      <c r="A15" s="110" t="s">
        <v>27</v>
      </c>
      <c r="B15" s="110" t="s">
        <v>832</v>
      </c>
      <c r="C15" s="112">
        <v>4</v>
      </c>
      <c r="D15" s="127">
        <f t="shared" si="0"/>
        <v>4.12</v>
      </c>
      <c r="E15" s="114" t="s">
        <v>692</v>
      </c>
      <c r="F15" s="112">
        <v>72</v>
      </c>
      <c r="G15" s="112" t="s">
        <v>1121</v>
      </c>
      <c r="H15" s="111">
        <v>1</v>
      </c>
      <c r="I15" s="111">
        <v>10</v>
      </c>
      <c r="J15" s="112">
        <v>120</v>
      </c>
      <c r="K15" s="112">
        <v>10</v>
      </c>
      <c r="L15" s="112">
        <v>50</v>
      </c>
      <c r="N15" s="1">
        <v>12227.7</v>
      </c>
      <c r="P15" s="1">
        <v>347.1</v>
      </c>
      <c r="Q15" s="1">
        <v>905.4</v>
      </c>
      <c r="R15" s="1">
        <v>129.1</v>
      </c>
      <c r="T15">
        <f t="shared" si="1"/>
        <v>886.87986171132229</v>
      </c>
    </row>
    <row r="16" spans="1:21" ht="15.75" customHeight="1">
      <c r="A16" s="110" t="s">
        <v>28</v>
      </c>
      <c r="B16" s="110" t="s">
        <v>832</v>
      </c>
      <c r="C16" s="112">
        <v>4</v>
      </c>
      <c r="D16" s="127">
        <f t="shared" si="0"/>
        <v>4.12</v>
      </c>
      <c r="E16" s="114" t="s">
        <v>692</v>
      </c>
      <c r="F16" s="112">
        <v>72</v>
      </c>
      <c r="G16" s="112" t="s">
        <v>1121</v>
      </c>
      <c r="H16" s="111">
        <v>1</v>
      </c>
      <c r="I16" s="111">
        <v>10</v>
      </c>
      <c r="J16" s="112">
        <v>120</v>
      </c>
      <c r="K16" s="112">
        <v>10</v>
      </c>
      <c r="L16" s="112">
        <v>50</v>
      </c>
      <c r="N16" s="1">
        <v>12007.4</v>
      </c>
      <c r="P16" s="1">
        <v>351.3</v>
      </c>
      <c r="Q16" s="1">
        <v>1037.2</v>
      </c>
      <c r="R16" s="1">
        <v>86.3</v>
      </c>
      <c r="T16">
        <f t="shared" si="1"/>
        <v>1003.8371762026759</v>
      </c>
    </row>
    <row r="17" spans="1:21" ht="15.75" customHeight="1">
      <c r="A17" s="110"/>
      <c r="B17" s="110"/>
      <c r="C17" s="112"/>
      <c r="D17" s="127"/>
      <c r="E17" s="114"/>
      <c r="F17" s="112"/>
      <c r="G17" s="112"/>
      <c r="H17" s="111"/>
      <c r="I17" s="111"/>
      <c r="J17" s="112"/>
      <c r="K17" s="112"/>
      <c r="L17" s="112"/>
      <c r="N17" s="1"/>
      <c r="P17" s="1"/>
      <c r="Q17" s="1"/>
      <c r="R17" s="1"/>
      <c r="T17" t="e">
        <f t="shared" ref="T17:T19" si="2">$U$2/P17*Q17</f>
        <v>#DIV/0!</v>
      </c>
      <c r="U17" t="e">
        <f>AVERAGE(T17:T19)</f>
        <v>#DIV/0!</v>
      </c>
    </row>
    <row r="18" spans="1:21" ht="15.75" customHeight="1">
      <c r="A18" s="110"/>
      <c r="B18" s="110"/>
      <c r="C18" s="112"/>
      <c r="D18" s="127"/>
      <c r="E18" s="114"/>
      <c r="F18" s="112"/>
      <c r="G18" s="112"/>
      <c r="H18" s="111"/>
      <c r="I18" s="111"/>
      <c r="J18" s="112"/>
      <c r="K18" s="112"/>
      <c r="L18" s="112"/>
      <c r="N18" s="1"/>
      <c r="P18" s="1"/>
      <c r="Q18" s="1"/>
      <c r="R18" s="1"/>
      <c r="T18" t="e">
        <f t="shared" si="2"/>
        <v>#DIV/0!</v>
      </c>
    </row>
    <row r="19" spans="1:21" ht="15.75" customHeight="1">
      <c r="A19" s="110"/>
      <c r="B19" s="110"/>
      <c r="C19" s="112"/>
      <c r="D19" s="127"/>
      <c r="E19" s="114"/>
      <c r="F19" s="112"/>
      <c r="G19" s="112"/>
      <c r="H19" s="111"/>
      <c r="I19" s="111"/>
      <c r="J19" s="112"/>
      <c r="K19" s="112"/>
      <c r="L19" s="112"/>
      <c r="N19" s="1"/>
      <c r="P19" s="1"/>
      <c r="Q19" s="1"/>
      <c r="R19" s="1"/>
      <c r="T19" t="e">
        <f t="shared" si="2"/>
        <v>#DIV/0!</v>
      </c>
    </row>
    <row r="20" spans="1:21" ht="15.75" customHeight="1">
      <c r="A20" s="114"/>
      <c r="B20" s="114"/>
      <c r="C20" s="127"/>
      <c r="I20" s="1"/>
    </row>
    <row r="21" spans="1:21" ht="15.75" customHeight="1">
      <c r="A21" s="114"/>
      <c r="B21" s="114" t="s">
        <v>300</v>
      </c>
      <c r="C21" s="127">
        <f>SUM(C5:C19)</f>
        <v>48</v>
      </c>
      <c r="I21" s="1" t="s">
        <v>300</v>
      </c>
      <c r="J21">
        <f>SUM(J5:J19)</f>
        <v>1440</v>
      </c>
    </row>
    <row r="22" spans="1:21" ht="15.75" customHeight="1">
      <c r="A22" s="114"/>
    </row>
    <row r="23" spans="1:21" ht="15.75" customHeight="1">
      <c r="A23" s="125" t="s">
        <v>1040</v>
      </c>
      <c r="J23" s="125" t="s">
        <v>968</v>
      </c>
      <c r="K23" s="114"/>
      <c r="L23" s="114"/>
      <c r="T23" s="1"/>
    </row>
    <row r="24" spans="1:21" ht="15.75" customHeight="1">
      <c r="A24" s="1" t="s">
        <v>1355</v>
      </c>
      <c r="J24" s="114" t="s">
        <v>970</v>
      </c>
      <c r="K24" s="114" t="s">
        <v>47</v>
      </c>
      <c r="L24" s="114" t="s">
        <v>300</v>
      </c>
      <c r="T24" s="1"/>
    </row>
    <row r="25" spans="1:21" ht="15.75" customHeight="1">
      <c r="A25" s="1"/>
      <c r="I25" s="1" t="s">
        <v>1237</v>
      </c>
      <c r="J25" s="125" t="s">
        <v>301</v>
      </c>
      <c r="K25" s="126">
        <v>0.5</v>
      </c>
      <c r="T25" s="1"/>
    </row>
    <row r="26" spans="1:21" ht="15.75" customHeight="1">
      <c r="A26" s="1"/>
      <c r="J26" s="112">
        <v>770</v>
      </c>
      <c r="K26" s="127">
        <f>J26/K25-J26</f>
        <v>770</v>
      </c>
      <c r="L26" s="127">
        <f>SUM(J26:K26)</f>
        <v>1540</v>
      </c>
      <c r="T26" s="1"/>
    </row>
    <row r="27" spans="1:21" ht="15.75" customHeight="1">
      <c r="A27" s="1"/>
      <c r="I27" s="1"/>
      <c r="J27" s="168"/>
      <c r="K27" s="112"/>
      <c r="L27" s="127"/>
      <c r="T27" s="1"/>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7"/>
  <sheetViews>
    <sheetView workbookViewId="0"/>
  </sheetViews>
  <sheetFormatPr defaultColWidth="14.42578125" defaultRowHeight="15.75" customHeight="1"/>
  <sheetData>
    <row r="3" spans="1:10" ht="15.75" customHeight="1">
      <c r="I3" s="1" t="s">
        <v>1356</v>
      </c>
    </row>
    <row r="4" spans="1:10" ht="15.75" customHeight="1">
      <c r="A4" s="5" t="s">
        <v>1357</v>
      </c>
      <c r="I4" s="1" t="s">
        <v>1358</v>
      </c>
      <c r="J4" s="1" t="s">
        <v>692</v>
      </c>
    </row>
    <row r="5" spans="1:10" ht="15.75" customHeight="1">
      <c r="A5" s="1" t="s">
        <v>1359</v>
      </c>
      <c r="I5">
        <f t="shared" ref="I5:J5" si="0">SUM(A12,A21,A37)</f>
        <v>15</v>
      </c>
      <c r="J5">
        <f t="shared" si="0"/>
        <v>10</v>
      </c>
    </row>
    <row r="6" spans="1:10" ht="15.75" customHeight="1">
      <c r="A6" s="1" t="s">
        <v>1360</v>
      </c>
      <c r="I6" s="1" t="s">
        <v>204</v>
      </c>
    </row>
    <row r="7" spans="1:10" ht="15.75" customHeight="1">
      <c r="A7" s="1" t="s">
        <v>1361</v>
      </c>
      <c r="I7" s="1">
        <v>50</v>
      </c>
    </row>
    <row r="8" spans="1:10" ht="15.75" customHeight="1">
      <c r="A8" s="1" t="s">
        <v>1362</v>
      </c>
      <c r="I8" s="1" t="s">
        <v>1363</v>
      </c>
    </row>
    <row r="9" spans="1:10" ht="15.75" customHeight="1">
      <c r="A9" s="1" t="s">
        <v>1364</v>
      </c>
      <c r="I9" s="1" t="s">
        <v>1365</v>
      </c>
    </row>
    <row r="10" spans="1:10" ht="15.75" customHeight="1">
      <c r="A10" s="1" t="s">
        <v>1366</v>
      </c>
    </row>
    <row r="11" spans="1:10" ht="15.75" customHeight="1">
      <c r="A11" s="1" t="s">
        <v>1358</v>
      </c>
      <c r="B11" s="1" t="s">
        <v>692</v>
      </c>
    </row>
    <row r="12" spans="1:10" ht="15.75" customHeight="1">
      <c r="A12" s="1">
        <v>5</v>
      </c>
      <c r="B12" s="1">
        <v>2</v>
      </c>
    </row>
    <row r="14" spans="1:10" ht="15.75" customHeight="1">
      <c r="A14" s="5" t="s">
        <v>1367</v>
      </c>
    </row>
    <row r="15" spans="1:10" ht="15.75" customHeight="1">
      <c r="A15" s="1" t="s">
        <v>1368</v>
      </c>
    </row>
    <row r="16" spans="1:10" ht="15.75" customHeight="1">
      <c r="A16" s="1" t="s">
        <v>1369</v>
      </c>
    </row>
    <row r="17" spans="1:2" ht="15.75" customHeight="1">
      <c r="A17" s="1" t="s">
        <v>1361</v>
      </c>
    </row>
    <row r="18" spans="1:2" ht="15.75" customHeight="1">
      <c r="A18" s="1" t="s">
        <v>1362</v>
      </c>
    </row>
    <row r="19" spans="1:2" ht="15.75" customHeight="1">
      <c r="A19" s="1" t="s">
        <v>1364</v>
      </c>
    </row>
    <row r="20" spans="1:2" ht="15.75" customHeight="1">
      <c r="A20" s="1" t="s">
        <v>1358</v>
      </c>
      <c r="B20" s="1" t="s">
        <v>692</v>
      </c>
    </row>
    <row r="21" spans="1:2" ht="15.75" customHeight="1">
      <c r="A21" s="1">
        <v>5</v>
      </c>
      <c r="B21" s="1">
        <v>4</v>
      </c>
    </row>
    <row r="23" spans="1:2" ht="15.75" customHeight="1">
      <c r="A23" s="5" t="s">
        <v>1370</v>
      </c>
    </row>
    <row r="24" spans="1:2" ht="15.75" customHeight="1">
      <c r="A24" s="1" t="s">
        <v>1371</v>
      </c>
    </row>
    <row r="30" spans="1:2" ht="15.75" customHeight="1">
      <c r="A30" s="5" t="s">
        <v>1372</v>
      </c>
    </row>
    <row r="31" spans="1:2" ht="15.75" customHeight="1">
      <c r="A31" s="1" t="s">
        <v>1359</v>
      </c>
    </row>
    <row r="32" spans="1:2" ht="15.75" customHeight="1">
      <c r="A32" s="1" t="s">
        <v>1360</v>
      </c>
    </row>
    <row r="33" spans="1:2" ht="15.75" customHeight="1">
      <c r="A33" s="1" t="s">
        <v>1361</v>
      </c>
    </row>
    <row r="34" spans="1:2" ht="15.75" customHeight="1">
      <c r="A34" s="1" t="s">
        <v>1362</v>
      </c>
    </row>
    <row r="35" spans="1:2" ht="15.75" customHeight="1">
      <c r="A35" s="1" t="s">
        <v>1364</v>
      </c>
    </row>
    <row r="36" spans="1:2" ht="15.75" customHeight="1">
      <c r="A36" s="1" t="s">
        <v>1358</v>
      </c>
      <c r="B36" s="1" t="s">
        <v>692</v>
      </c>
    </row>
    <row r="37" spans="1:2" ht="15.75" customHeight="1">
      <c r="A37" s="1">
        <v>5</v>
      </c>
      <c r="B37" s="1">
        <v>4</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4"/>
  <sheetViews>
    <sheetView workbookViewId="0"/>
  </sheetViews>
  <sheetFormatPr defaultColWidth="14.42578125" defaultRowHeight="15.75" customHeight="1"/>
  <cols>
    <col min="6" max="6" width="16.7109375" customWidth="1"/>
    <col min="7" max="7" width="18.7109375" customWidth="1"/>
    <col min="10" max="10" width="23.42578125" customWidth="1"/>
  </cols>
  <sheetData>
    <row r="1" spans="1:22" ht="12.75">
      <c r="A1" s="1" t="s">
        <v>1330</v>
      </c>
    </row>
    <row r="2" spans="1:22" ht="12.75">
      <c r="U2" s="1" t="s">
        <v>8</v>
      </c>
      <c r="V2" s="1" t="s">
        <v>1373</v>
      </c>
    </row>
    <row r="3" spans="1:22" ht="12.75">
      <c r="A3" s="114" t="s">
        <v>1</v>
      </c>
      <c r="B3" s="114" t="s">
        <v>659</v>
      </c>
      <c r="C3" s="114" t="s">
        <v>660</v>
      </c>
      <c r="D3" s="114" t="s">
        <v>661</v>
      </c>
      <c r="E3" s="114" t="s">
        <v>1032</v>
      </c>
      <c r="F3" s="110" t="s">
        <v>1374</v>
      </c>
      <c r="G3" s="110" t="s">
        <v>1295</v>
      </c>
      <c r="H3" s="114" t="s">
        <v>97</v>
      </c>
      <c r="I3" s="114" t="s">
        <v>664</v>
      </c>
      <c r="J3" s="114" t="s">
        <v>665</v>
      </c>
      <c r="K3" s="114" t="s">
        <v>666</v>
      </c>
      <c r="L3" s="114" t="s">
        <v>667</v>
      </c>
      <c r="N3" s="1" t="s">
        <v>6</v>
      </c>
      <c r="O3" s="1" t="s">
        <v>7</v>
      </c>
      <c r="P3" s="1" t="s">
        <v>8</v>
      </c>
      <c r="Q3" s="1" t="s">
        <v>9</v>
      </c>
      <c r="R3" s="1" t="s">
        <v>10</v>
      </c>
      <c r="U3" s="1">
        <v>340</v>
      </c>
    </row>
    <row r="4" spans="1:22" ht="12.75">
      <c r="A4" s="114" t="s">
        <v>962</v>
      </c>
      <c r="B4" s="114"/>
      <c r="C4" s="114"/>
      <c r="D4" s="114"/>
      <c r="E4" s="114"/>
      <c r="F4" s="114"/>
      <c r="G4" s="114"/>
      <c r="H4" s="114"/>
      <c r="I4" s="114"/>
      <c r="J4" s="114"/>
      <c r="L4" s="114"/>
    </row>
    <row r="5" spans="1:22" ht="12.75">
      <c r="A5" s="110" t="s">
        <v>408</v>
      </c>
      <c r="B5" s="110" t="s">
        <v>832</v>
      </c>
      <c r="C5" s="111">
        <v>4</v>
      </c>
      <c r="D5" s="127">
        <f t="shared" ref="D5:D19" si="0">C5+J5/1000</f>
        <v>4.12</v>
      </c>
      <c r="E5" s="114" t="s">
        <v>692</v>
      </c>
      <c r="F5" s="112">
        <v>65</v>
      </c>
      <c r="G5" s="112" t="s">
        <v>1121</v>
      </c>
      <c r="H5" s="111">
        <v>1</v>
      </c>
      <c r="I5" s="111">
        <v>10</v>
      </c>
      <c r="J5" s="112">
        <v>120</v>
      </c>
      <c r="K5" s="112">
        <v>10</v>
      </c>
      <c r="L5" s="112">
        <v>50</v>
      </c>
      <c r="N5" s="1">
        <v>13569</v>
      </c>
      <c r="O5" s="1"/>
      <c r="P5" s="1">
        <v>390</v>
      </c>
      <c r="Q5" s="1">
        <v>838</v>
      </c>
      <c r="R5" s="1">
        <v>200</v>
      </c>
      <c r="U5">
        <f t="shared" ref="U5:U16" si="1">$U$3/P5*Q5</f>
        <v>730.56410256410254</v>
      </c>
      <c r="V5">
        <f>AVERAGE(U5:U7)</f>
        <v>824.26389298407696</v>
      </c>
    </row>
    <row r="6" spans="1:22" ht="12.75">
      <c r="A6" s="110" t="s">
        <v>409</v>
      </c>
      <c r="B6" s="110" t="s">
        <v>832</v>
      </c>
      <c r="C6" s="111">
        <v>4</v>
      </c>
      <c r="D6" s="127">
        <f t="shared" si="0"/>
        <v>4.12</v>
      </c>
      <c r="E6" s="114" t="s">
        <v>692</v>
      </c>
      <c r="F6" s="112">
        <v>65</v>
      </c>
      <c r="G6" s="112" t="s">
        <v>1121</v>
      </c>
      <c r="H6" s="111">
        <v>1</v>
      </c>
      <c r="I6" s="111">
        <v>10</v>
      </c>
      <c r="J6" s="112">
        <v>120</v>
      </c>
      <c r="K6" s="112">
        <v>10</v>
      </c>
      <c r="L6" s="112">
        <v>50</v>
      </c>
      <c r="N6" s="1">
        <v>12484</v>
      </c>
      <c r="P6" s="1">
        <v>397</v>
      </c>
      <c r="Q6" s="1">
        <v>1220</v>
      </c>
      <c r="R6" s="1">
        <v>61</v>
      </c>
      <c r="U6">
        <f t="shared" si="1"/>
        <v>1044.8362720403022</v>
      </c>
    </row>
    <row r="7" spans="1:22" ht="12.75">
      <c r="A7" s="110" t="s">
        <v>410</v>
      </c>
      <c r="B7" s="110" t="s">
        <v>832</v>
      </c>
      <c r="C7" s="111">
        <v>4</v>
      </c>
      <c r="D7" s="127">
        <f t="shared" si="0"/>
        <v>4.12</v>
      </c>
      <c r="E7" s="114" t="s">
        <v>692</v>
      </c>
      <c r="F7" s="112">
        <v>65</v>
      </c>
      <c r="G7" s="112" t="s">
        <v>1121</v>
      </c>
      <c r="H7" s="111">
        <v>1</v>
      </c>
      <c r="I7" s="111">
        <v>10</v>
      </c>
      <c r="J7" s="112">
        <v>120</v>
      </c>
      <c r="K7" s="112">
        <v>10</v>
      </c>
      <c r="L7" s="112">
        <v>50</v>
      </c>
      <c r="N7" s="1">
        <v>13445</v>
      </c>
      <c r="P7" s="1">
        <v>391</v>
      </c>
      <c r="Q7" s="1">
        <v>802</v>
      </c>
      <c r="R7" s="1">
        <v>203</v>
      </c>
      <c r="U7">
        <f t="shared" si="1"/>
        <v>697.39130434782612</v>
      </c>
    </row>
    <row r="8" spans="1:22" ht="12.75">
      <c r="A8" s="110" t="s">
        <v>411</v>
      </c>
      <c r="B8" s="110" t="s">
        <v>832</v>
      </c>
      <c r="C8" s="112">
        <v>4</v>
      </c>
      <c r="D8" s="127">
        <f t="shared" si="0"/>
        <v>4.12</v>
      </c>
      <c r="E8" s="114" t="s">
        <v>692</v>
      </c>
      <c r="F8" s="112">
        <v>65</v>
      </c>
      <c r="G8" s="112" t="s">
        <v>1121</v>
      </c>
      <c r="H8" s="112">
        <v>2</v>
      </c>
      <c r="I8" s="111">
        <v>10</v>
      </c>
      <c r="J8" s="112">
        <v>120</v>
      </c>
      <c r="K8" s="112">
        <v>10</v>
      </c>
      <c r="L8" s="112">
        <v>50</v>
      </c>
      <c r="N8" s="1">
        <v>12934</v>
      </c>
      <c r="P8" s="1">
        <v>364</v>
      </c>
      <c r="Q8" s="1">
        <v>994</v>
      </c>
      <c r="R8" s="1">
        <v>146</v>
      </c>
      <c r="U8">
        <f t="shared" si="1"/>
        <v>928.46153846153845</v>
      </c>
      <c r="V8">
        <f>AVERAGE(U8:U10)</f>
        <v>1007.3962733732848</v>
      </c>
    </row>
    <row r="9" spans="1:22" ht="12.75">
      <c r="A9" s="110" t="s">
        <v>412</v>
      </c>
      <c r="B9" s="110" t="s">
        <v>832</v>
      </c>
      <c r="C9" s="112">
        <v>4</v>
      </c>
      <c r="D9" s="127">
        <f t="shared" si="0"/>
        <v>4.12</v>
      </c>
      <c r="E9" s="114" t="s">
        <v>692</v>
      </c>
      <c r="F9" s="112">
        <v>65</v>
      </c>
      <c r="G9" s="112" t="s">
        <v>1121</v>
      </c>
      <c r="H9" s="112">
        <v>2</v>
      </c>
      <c r="I9" s="111">
        <v>10</v>
      </c>
      <c r="J9" s="112">
        <v>120</v>
      </c>
      <c r="K9" s="112">
        <v>10</v>
      </c>
      <c r="L9" s="112">
        <v>50</v>
      </c>
      <c r="N9" s="1">
        <v>12596</v>
      </c>
      <c r="P9" s="1">
        <v>348</v>
      </c>
      <c r="Q9" s="1">
        <v>1098</v>
      </c>
      <c r="R9" s="1">
        <v>96</v>
      </c>
      <c r="U9">
        <f t="shared" si="1"/>
        <v>1072.7586206896551</v>
      </c>
    </row>
    <row r="10" spans="1:22" ht="12.75">
      <c r="A10" s="110" t="s">
        <v>413</v>
      </c>
      <c r="B10" s="110" t="s">
        <v>832</v>
      </c>
      <c r="C10" s="112">
        <v>4</v>
      </c>
      <c r="D10" s="127">
        <f t="shared" si="0"/>
        <v>4.12</v>
      </c>
      <c r="E10" s="114" t="s">
        <v>692</v>
      </c>
      <c r="F10" s="112">
        <v>65</v>
      </c>
      <c r="G10" s="112" t="s">
        <v>1121</v>
      </c>
      <c r="H10" s="112">
        <v>2</v>
      </c>
      <c r="I10" s="111">
        <v>10</v>
      </c>
      <c r="J10" s="112">
        <v>120</v>
      </c>
      <c r="K10" s="112">
        <v>10</v>
      </c>
      <c r="L10" s="112">
        <v>50</v>
      </c>
      <c r="N10" s="1">
        <v>12586</v>
      </c>
      <c r="P10" s="1">
        <v>351</v>
      </c>
      <c r="Q10" s="1">
        <v>1054</v>
      </c>
      <c r="R10" s="1">
        <v>121</v>
      </c>
      <c r="U10">
        <f t="shared" si="1"/>
        <v>1020.968660968661</v>
      </c>
    </row>
    <row r="11" spans="1:22" ht="12.75">
      <c r="A11" s="110" t="s">
        <v>414</v>
      </c>
      <c r="B11" s="110" t="s">
        <v>832</v>
      </c>
      <c r="C11" s="112">
        <v>4</v>
      </c>
      <c r="D11" s="127">
        <f t="shared" si="0"/>
        <v>4.12</v>
      </c>
      <c r="E11" s="114" t="s">
        <v>692</v>
      </c>
      <c r="F11" s="112">
        <v>65</v>
      </c>
      <c r="G11" s="112" t="s">
        <v>1375</v>
      </c>
      <c r="H11" s="111">
        <v>1</v>
      </c>
      <c r="I11" s="111">
        <v>10</v>
      </c>
      <c r="J11" s="112">
        <v>120</v>
      </c>
      <c r="K11" s="112">
        <v>10</v>
      </c>
      <c r="L11" s="112">
        <v>50</v>
      </c>
      <c r="N11" s="1">
        <v>12192</v>
      </c>
      <c r="P11" s="1">
        <v>337</v>
      </c>
      <c r="Q11" s="1">
        <v>1185</v>
      </c>
      <c r="R11" s="1">
        <v>58</v>
      </c>
      <c r="U11">
        <f t="shared" si="1"/>
        <v>1195.5489614243322</v>
      </c>
      <c r="V11">
        <f>AVERAGE(U11:U13)</f>
        <v>983.34186704560705</v>
      </c>
    </row>
    <row r="12" spans="1:22" ht="12.75">
      <c r="A12" s="110" t="s">
        <v>1376</v>
      </c>
      <c r="B12" s="110" t="s">
        <v>832</v>
      </c>
      <c r="C12" s="112">
        <v>4</v>
      </c>
      <c r="D12" s="127">
        <f t="shared" si="0"/>
        <v>4.12</v>
      </c>
      <c r="E12" s="114" t="s">
        <v>692</v>
      </c>
      <c r="F12" s="112">
        <v>65</v>
      </c>
      <c r="G12" s="112" t="s">
        <v>1375</v>
      </c>
      <c r="H12" s="111">
        <v>1</v>
      </c>
      <c r="I12" s="111">
        <v>10</v>
      </c>
      <c r="J12" s="112">
        <v>120</v>
      </c>
      <c r="K12" s="112">
        <v>10</v>
      </c>
      <c r="L12" s="112">
        <v>50</v>
      </c>
      <c r="N12" s="1">
        <v>12341</v>
      </c>
      <c r="P12" s="1">
        <v>424</v>
      </c>
      <c r="Q12" s="1">
        <v>929</v>
      </c>
      <c r="R12" s="1">
        <v>149</v>
      </c>
      <c r="U12">
        <f t="shared" si="1"/>
        <v>744.95283018867929</v>
      </c>
    </row>
    <row r="13" spans="1:22" ht="12.75">
      <c r="A13" s="110" t="s">
        <v>1377</v>
      </c>
      <c r="B13" s="110" t="s">
        <v>832</v>
      </c>
      <c r="C13" s="112">
        <v>4</v>
      </c>
      <c r="D13" s="127">
        <f t="shared" si="0"/>
        <v>4.12</v>
      </c>
      <c r="E13" s="114" t="s">
        <v>692</v>
      </c>
      <c r="F13" s="112">
        <v>65</v>
      </c>
      <c r="G13" s="112" t="s">
        <v>1375</v>
      </c>
      <c r="H13" s="111">
        <v>1</v>
      </c>
      <c r="I13" s="111">
        <v>10</v>
      </c>
      <c r="J13" s="112">
        <v>120</v>
      </c>
      <c r="K13" s="112">
        <v>10</v>
      </c>
      <c r="L13" s="112">
        <v>50</v>
      </c>
      <c r="N13" s="1">
        <v>12306</v>
      </c>
      <c r="P13" s="1">
        <v>357</v>
      </c>
      <c r="Q13" s="1">
        <v>1060</v>
      </c>
      <c r="R13" s="1">
        <v>99</v>
      </c>
      <c r="U13">
        <f t="shared" si="1"/>
        <v>1009.5238095238095</v>
      </c>
    </row>
    <row r="14" spans="1:22" ht="13.5" customHeight="1">
      <c r="A14" s="110" t="s">
        <v>1378</v>
      </c>
      <c r="B14" s="110" t="s">
        <v>832</v>
      </c>
      <c r="C14" s="112">
        <v>4</v>
      </c>
      <c r="D14" s="127">
        <f t="shared" si="0"/>
        <v>4.12</v>
      </c>
      <c r="E14" s="114" t="s">
        <v>692</v>
      </c>
      <c r="F14" s="112">
        <v>65</v>
      </c>
      <c r="G14" s="112" t="s">
        <v>1379</v>
      </c>
      <c r="H14" s="111">
        <v>1</v>
      </c>
      <c r="I14" s="111">
        <v>10</v>
      </c>
      <c r="J14" s="112">
        <v>120</v>
      </c>
      <c r="K14" s="112">
        <v>10</v>
      </c>
      <c r="L14" s="112">
        <v>50</v>
      </c>
      <c r="N14" s="1">
        <v>12446</v>
      </c>
      <c r="P14" s="1">
        <v>347</v>
      </c>
      <c r="Q14" s="1">
        <v>1044</v>
      </c>
      <c r="R14" s="1">
        <v>104</v>
      </c>
      <c r="U14">
        <f t="shared" si="1"/>
        <v>1022.9394812680115</v>
      </c>
      <c r="V14">
        <f>AVERAGE(U14:U16)</f>
        <v>1013.4796081368062</v>
      </c>
    </row>
    <row r="15" spans="1:22" ht="12.75">
      <c r="A15" s="110" t="s">
        <v>1380</v>
      </c>
      <c r="B15" s="110" t="s">
        <v>832</v>
      </c>
      <c r="C15" s="112">
        <v>4</v>
      </c>
      <c r="D15" s="127">
        <f t="shared" si="0"/>
        <v>4.12</v>
      </c>
      <c r="E15" s="114" t="s">
        <v>692</v>
      </c>
      <c r="F15" s="112">
        <v>65</v>
      </c>
      <c r="G15" s="112" t="s">
        <v>1379</v>
      </c>
      <c r="H15" s="111">
        <v>1</v>
      </c>
      <c r="I15" s="111">
        <v>10</v>
      </c>
      <c r="J15" s="112">
        <v>120</v>
      </c>
      <c r="K15" s="112">
        <v>10</v>
      </c>
      <c r="L15" s="112">
        <v>50</v>
      </c>
      <c r="N15" s="1">
        <v>12572</v>
      </c>
      <c r="P15" s="1">
        <v>346</v>
      </c>
      <c r="Q15" s="1">
        <v>1021</v>
      </c>
      <c r="R15" s="1">
        <v>129</v>
      </c>
      <c r="S15" s="1" t="s">
        <v>1381</v>
      </c>
      <c r="U15">
        <f t="shared" si="1"/>
        <v>1003.2947976878612</v>
      </c>
    </row>
    <row r="16" spans="1:22" ht="12.75">
      <c r="A16" s="110" t="s">
        <v>1382</v>
      </c>
      <c r="B16" s="110" t="s">
        <v>832</v>
      </c>
      <c r="C16" s="112">
        <v>4</v>
      </c>
      <c r="D16" s="127">
        <f t="shared" si="0"/>
        <v>4.12</v>
      </c>
      <c r="E16" s="114" t="s">
        <v>692</v>
      </c>
      <c r="F16" s="112">
        <v>65</v>
      </c>
      <c r="G16" s="112" t="s">
        <v>1379</v>
      </c>
      <c r="H16" s="111">
        <v>1</v>
      </c>
      <c r="I16" s="111">
        <v>10</v>
      </c>
      <c r="J16" s="112">
        <v>120</v>
      </c>
      <c r="K16" s="112">
        <v>10</v>
      </c>
      <c r="L16" s="112">
        <v>50</v>
      </c>
      <c r="N16" s="1">
        <v>12227</v>
      </c>
      <c r="P16" s="1">
        <v>352</v>
      </c>
      <c r="Q16" s="1">
        <v>1050</v>
      </c>
      <c r="R16" s="1">
        <v>98</v>
      </c>
      <c r="U16">
        <f t="shared" si="1"/>
        <v>1014.2045454545455</v>
      </c>
    </row>
    <row r="17" spans="1:18" ht="12.75">
      <c r="A17" s="110" t="s">
        <v>1383</v>
      </c>
      <c r="B17" s="110" t="s">
        <v>832</v>
      </c>
      <c r="C17" s="112"/>
      <c r="D17" s="127">
        <f t="shared" si="0"/>
        <v>0.12</v>
      </c>
      <c r="E17" s="114" t="s">
        <v>692</v>
      </c>
      <c r="F17" s="112">
        <v>0</v>
      </c>
      <c r="G17" s="112" t="s">
        <v>1384</v>
      </c>
      <c r="H17" s="111">
        <v>1</v>
      </c>
      <c r="I17" s="111">
        <v>10</v>
      </c>
      <c r="J17" s="112">
        <v>120</v>
      </c>
      <c r="K17" s="112"/>
      <c r="N17" s="1"/>
      <c r="P17" s="1"/>
      <c r="Q17" s="1"/>
      <c r="R17" s="1"/>
    </row>
    <row r="18" spans="1:18" ht="12.75">
      <c r="A18" s="110" t="s">
        <v>1229</v>
      </c>
      <c r="B18" s="110" t="s">
        <v>832</v>
      </c>
      <c r="C18" s="112"/>
      <c r="D18" s="127">
        <f t="shared" si="0"/>
        <v>0.12</v>
      </c>
      <c r="E18" s="114" t="s">
        <v>692</v>
      </c>
      <c r="F18" s="112">
        <v>65</v>
      </c>
      <c r="G18" s="112" t="s">
        <v>1121</v>
      </c>
      <c r="H18" s="112">
        <v>1</v>
      </c>
      <c r="I18" s="111">
        <v>10</v>
      </c>
      <c r="J18" s="112">
        <v>120</v>
      </c>
      <c r="K18" s="112"/>
      <c r="N18" s="1"/>
      <c r="P18" s="1"/>
      <c r="Q18" s="1"/>
      <c r="R18" s="1"/>
    </row>
    <row r="19" spans="1:18" ht="12.75">
      <c r="A19" s="1" t="s">
        <v>1385</v>
      </c>
      <c r="B19" s="110" t="s">
        <v>832</v>
      </c>
      <c r="C19" s="112"/>
      <c r="D19" s="127">
        <f t="shared" si="0"/>
        <v>0.12</v>
      </c>
      <c r="E19" s="114" t="s">
        <v>692</v>
      </c>
      <c r="F19" s="112">
        <v>65</v>
      </c>
      <c r="G19" s="112" t="s">
        <v>1121</v>
      </c>
      <c r="H19" s="112">
        <v>2</v>
      </c>
      <c r="I19" s="111">
        <v>10</v>
      </c>
      <c r="J19" s="112">
        <v>120</v>
      </c>
      <c r="K19" s="112"/>
      <c r="N19" s="1"/>
      <c r="P19" s="1"/>
      <c r="Q19" s="1"/>
      <c r="R19" s="1"/>
    </row>
    <row r="20" spans="1:18" ht="12.75">
      <c r="A20" s="110" t="s">
        <v>1386</v>
      </c>
      <c r="B20" s="110" t="s">
        <v>832</v>
      </c>
      <c r="C20" s="127"/>
      <c r="F20" s="1">
        <v>0</v>
      </c>
      <c r="G20" s="1" t="s">
        <v>1387</v>
      </c>
      <c r="H20" s="1">
        <v>1</v>
      </c>
      <c r="I20" s="1"/>
    </row>
    <row r="21" spans="1:18" ht="12.75">
      <c r="A21" s="114"/>
      <c r="B21" s="114" t="s">
        <v>300</v>
      </c>
      <c r="C21" s="127">
        <f>SUM(C5:C19)</f>
        <v>48</v>
      </c>
      <c r="I21" s="1" t="s">
        <v>300</v>
      </c>
      <c r="J21">
        <f>SUM(J5:J19)</f>
        <v>1800</v>
      </c>
    </row>
    <row r="22" spans="1:18" ht="12.75">
      <c r="A22" s="114"/>
    </row>
    <row r="23" spans="1:18" ht="12.75">
      <c r="A23" s="125" t="s">
        <v>1040</v>
      </c>
      <c r="J23" s="125" t="s">
        <v>968</v>
      </c>
      <c r="K23" s="114"/>
      <c r="L23" s="114"/>
    </row>
    <row r="24" spans="1:18" ht="12.75">
      <c r="A24" s="1" t="s">
        <v>1388</v>
      </c>
      <c r="J24" s="114" t="s">
        <v>970</v>
      </c>
      <c r="K24" s="114" t="s">
        <v>47</v>
      </c>
      <c r="L24" s="114" t="s">
        <v>300</v>
      </c>
    </row>
    <row r="25" spans="1:18" ht="12.75">
      <c r="A25" s="1" t="s">
        <v>1389</v>
      </c>
      <c r="I25" s="1" t="s">
        <v>1237</v>
      </c>
      <c r="J25" s="125" t="s">
        <v>301</v>
      </c>
      <c r="K25" s="126">
        <v>0.5</v>
      </c>
    </row>
    <row r="26" spans="1:18" ht="12.75">
      <c r="A26" s="1" t="s">
        <v>1390</v>
      </c>
      <c r="J26" s="112">
        <v>750</v>
      </c>
      <c r="K26" s="127">
        <f>J26/K25-J26</f>
        <v>750</v>
      </c>
      <c r="L26" s="127">
        <f>SUM(J26:K26)</f>
        <v>1500</v>
      </c>
    </row>
    <row r="27" spans="1:18" ht="12.75">
      <c r="A27" s="1" t="s">
        <v>1391</v>
      </c>
      <c r="I27" s="1" t="s">
        <v>1392</v>
      </c>
      <c r="J27" s="168" t="s">
        <v>1393</v>
      </c>
      <c r="K27" s="112">
        <v>0.5</v>
      </c>
      <c r="L27" s="127"/>
    </row>
    <row r="28" spans="1:18" ht="12.75">
      <c r="A28" s="1" t="s">
        <v>1394</v>
      </c>
      <c r="J28" s="112">
        <v>280</v>
      </c>
      <c r="K28" s="127">
        <f>J28/K27-J28</f>
        <v>280</v>
      </c>
      <c r="L28" s="127">
        <f>SUM(J28:K28)</f>
        <v>560</v>
      </c>
    </row>
    <row r="29" spans="1:18" ht="12.75">
      <c r="A29" s="1"/>
      <c r="I29" s="1"/>
      <c r="J29" s="5"/>
      <c r="K29" s="1"/>
    </row>
    <row r="30" spans="1:18" ht="12.75">
      <c r="A30" s="1"/>
      <c r="J30" s="112"/>
      <c r="K30" s="127"/>
      <c r="L30" s="127"/>
    </row>
    <row r="31" spans="1:18" ht="12.75">
      <c r="A31" s="1"/>
      <c r="I31" s="1"/>
      <c r="J31" s="5"/>
      <c r="K31" s="1"/>
    </row>
    <row r="32" spans="1:18" ht="12.75">
      <c r="A32" s="1"/>
      <c r="J32" s="112"/>
      <c r="K32" s="127"/>
      <c r="L32" s="127"/>
    </row>
    <row r="33" spans="1:1" ht="12.75">
      <c r="A33" s="1"/>
    </row>
    <row r="34" spans="1:1" ht="12.75">
      <c r="A34" s="1"/>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4"/>
  <sheetViews>
    <sheetView workbookViewId="0"/>
  </sheetViews>
  <sheetFormatPr defaultColWidth="14.42578125" defaultRowHeight="15.75" customHeight="1"/>
  <cols>
    <col min="6" max="7" width="16.7109375" customWidth="1"/>
    <col min="10" max="10" width="23.42578125" customWidth="1"/>
  </cols>
  <sheetData>
    <row r="1" spans="1:22" ht="15.75" customHeight="1">
      <c r="A1" s="1" t="s">
        <v>1330</v>
      </c>
      <c r="U1" s="1" t="s">
        <v>1395</v>
      </c>
      <c r="V1" s="1"/>
    </row>
    <row r="2" spans="1:22" ht="15.75" customHeight="1">
      <c r="U2" s="1">
        <v>340</v>
      </c>
    </row>
    <row r="3" spans="1:22" ht="15.75" customHeight="1">
      <c r="A3" s="114" t="s">
        <v>1</v>
      </c>
      <c r="B3" s="114" t="s">
        <v>659</v>
      </c>
      <c r="C3" s="114" t="s">
        <v>660</v>
      </c>
      <c r="D3" s="114" t="s">
        <v>661</v>
      </c>
      <c r="E3" s="114" t="s">
        <v>1032</v>
      </c>
      <c r="F3" s="110" t="s">
        <v>1374</v>
      </c>
      <c r="G3" s="110" t="s">
        <v>1295</v>
      </c>
      <c r="H3" s="114" t="s">
        <v>97</v>
      </c>
      <c r="I3" s="114" t="s">
        <v>664</v>
      </c>
      <c r="J3" s="114" t="s">
        <v>665</v>
      </c>
      <c r="K3" s="114" t="s">
        <v>666</v>
      </c>
      <c r="L3" s="114" t="s">
        <v>667</v>
      </c>
      <c r="N3" s="1" t="s">
        <v>6</v>
      </c>
      <c r="O3" s="1" t="s">
        <v>7</v>
      </c>
      <c r="P3" s="1" t="s">
        <v>8</v>
      </c>
      <c r="Q3" s="1" t="s">
        <v>9</v>
      </c>
      <c r="R3" s="1" t="s">
        <v>10</v>
      </c>
      <c r="U3" s="1" t="s">
        <v>1297</v>
      </c>
    </row>
    <row r="4" spans="1:22" ht="15.75" customHeight="1">
      <c r="A4" s="114" t="s">
        <v>962</v>
      </c>
      <c r="B4" s="114"/>
      <c r="C4" s="114"/>
      <c r="D4" s="114"/>
      <c r="E4" s="114"/>
      <c r="F4" s="114"/>
      <c r="G4" s="114"/>
      <c r="H4" s="114"/>
      <c r="I4" s="114"/>
      <c r="J4" s="114"/>
      <c r="L4" s="114"/>
    </row>
    <row r="5" spans="1:22" ht="15.75" customHeight="1">
      <c r="A5" s="114" t="s">
        <v>17</v>
      </c>
      <c r="B5" s="110" t="s">
        <v>832</v>
      </c>
      <c r="C5" s="111">
        <v>4</v>
      </c>
      <c r="D5" s="127">
        <f t="shared" ref="D5:D17" si="0">C5+J5/1000</f>
        <v>4.12</v>
      </c>
      <c r="E5" s="114" t="s">
        <v>692</v>
      </c>
      <c r="F5" s="112">
        <v>0</v>
      </c>
      <c r="G5" s="112" t="s">
        <v>1396</v>
      </c>
      <c r="H5" s="111">
        <v>1</v>
      </c>
      <c r="I5" s="111">
        <v>10</v>
      </c>
      <c r="J5" s="112">
        <v>120</v>
      </c>
      <c r="K5" s="112">
        <v>10</v>
      </c>
      <c r="L5" s="112">
        <v>50</v>
      </c>
      <c r="M5" s="182">
        <v>42172.581550925926</v>
      </c>
      <c r="N5" s="1">
        <v>13094</v>
      </c>
      <c r="O5" s="1"/>
      <c r="P5" s="1">
        <v>426</v>
      </c>
      <c r="Q5" s="1">
        <v>661</v>
      </c>
      <c r="R5" s="1">
        <v>228</v>
      </c>
      <c r="U5">
        <f t="shared" ref="U5:U17" si="1">$U$2/P5*Q5</f>
        <v>527.55868544600935</v>
      </c>
      <c r="V5">
        <f>AVERAGE(U5:U7)</f>
        <v>438.32137138017919</v>
      </c>
    </row>
    <row r="6" spans="1:22" ht="15.75" customHeight="1">
      <c r="A6" s="114" t="s">
        <v>18</v>
      </c>
      <c r="B6" s="110" t="s">
        <v>832</v>
      </c>
      <c r="C6" s="111">
        <v>4</v>
      </c>
      <c r="D6" s="127">
        <f t="shared" si="0"/>
        <v>4.12</v>
      </c>
      <c r="E6" s="114" t="s">
        <v>692</v>
      </c>
      <c r="F6" s="112">
        <v>0</v>
      </c>
      <c r="G6" s="112" t="s">
        <v>1396</v>
      </c>
      <c r="H6" s="111">
        <v>1</v>
      </c>
      <c r="I6" s="111">
        <v>10</v>
      </c>
      <c r="J6" s="112">
        <v>120</v>
      </c>
      <c r="K6" s="112">
        <v>10</v>
      </c>
      <c r="L6" s="112">
        <v>50</v>
      </c>
      <c r="N6" s="1">
        <v>13037</v>
      </c>
      <c r="P6" s="1">
        <v>495</v>
      </c>
      <c r="Q6" s="1">
        <v>459</v>
      </c>
      <c r="R6" s="1">
        <v>295</v>
      </c>
      <c r="U6">
        <f t="shared" si="1"/>
        <v>315.27272727272725</v>
      </c>
    </row>
    <row r="7" spans="1:22" ht="15.75" customHeight="1">
      <c r="A7" s="114" t="s">
        <v>19</v>
      </c>
      <c r="B7" s="110" t="s">
        <v>832</v>
      </c>
      <c r="C7" s="111">
        <v>4</v>
      </c>
      <c r="D7" s="127">
        <f t="shared" si="0"/>
        <v>4.12</v>
      </c>
      <c r="E7" s="114" t="s">
        <v>692</v>
      </c>
      <c r="F7" s="112">
        <v>0</v>
      </c>
      <c r="G7" s="112" t="s">
        <v>1396</v>
      </c>
      <c r="H7" s="111">
        <v>1</v>
      </c>
      <c r="I7" s="111">
        <v>10</v>
      </c>
      <c r="J7" s="112">
        <v>120</v>
      </c>
      <c r="K7" s="112">
        <v>10</v>
      </c>
      <c r="L7" s="112">
        <v>50</v>
      </c>
      <c r="N7" s="1">
        <v>12868</v>
      </c>
      <c r="P7" s="1">
        <v>422</v>
      </c>
      <c r="Q7" s="1">
        <v>586</v>
      </c>
      <c r="R7" s="1">
        <v>231</v>
      </c>
      <c r="U7">
        <f t="shared" si="1"/>
        <v>472.13270142180096</v>
      </c>
    </row>
    <row r="8" spans="1:22" ht="15.75" customHeight="1">
      <c r="A8" s="114" t="s">
        <v>20</v>
      </c>
      <c r="B8" s="110" t="s">
        <v>832</v>
      </c>
      <c r="C8" s="112">
        <v>4</v>
      </c>
      <c r="D8" s="127">
        <f t="shared" si="0"/>
        <v>4.12</v>
      </c>
      <c r="E8" s="114" t="s">
        <v>692</v>
      </c>
      <c r="F8" s="112">
        <v>60</v>
      </c>
      <c r="G8" s="112" t="s">
        <v>1396</v>
      </c>
      <c r="H8" s="111">
        <v>1</v>
      </c>
      <c r="I8" s="111">
        <v>10</v>
      </c>
      <c r="J8" s="112">
        <v>120</v>
      </c>
      <c r="K8" s="112">
        <v>10</v>
      </c>
      <c r="L8" s="112">
        <v>50</v>
      </c>
      <c r="N8" s="1">
        <v>12822</v>
      </c>
      <c r="P8" s="1">
        <v>347</v>
      </c>
      <c r="Q8" s="1">
        <v>1248</v>
      </c>
      <c r="R8" s="1">
        <v>50</v>
      </c>
      <c r="U8">
        <f t="shared" si="1"/>
        <v>1222.8242074927953</v>
      </c>
      <c r="V8">
        <f>AVERAGE(U8:U11)</f>
        <v>952.12968605401011</v>
      </c>
    </row>
    <row r="9" spans="1:22" ht="15.75" customHeight="1">
      <c r="A9" s="114" t="s">
        <v>21</v>
      </c>
      <c r="B9" s="110" t="s">
        <v>832</v>
      </c>
      <c r="C9" s="112">
        <v>4</v>
      </c>
      <c r="D9" s="127">
        <f t="shared" si="0"/>
        <v>4.12</v>
      </c>
      <c r="E9" s="114" t="s">
        <v>692</v>
      </c>
      <c r="F9" s="112">
        <v>60</v>
      </c>
      <c r="G9" s="112" t="s">
        <v>1396</v>
      </c>
      <c r="H9" s="111">
        <v>1</v>
      </c>
      <c r="I9" s="111">
        <v>10</v>
      </c>
      <c r="J9" s="112">
        <v>120</v>
      </c>
      <c r="K9" s="112">
        <v>10</v>
      </c>
      <c r="L9" s="112">
        <v>50</v>
      </c>
      <c r="M9" s="182">
        <v>42172.857037037036</v>
      </c>
      <c r="N9" s="1">
        <v>13836</v>
      </c>
      <c r="P9" s="1">
        <v>399</v>
      </c>
      <c r="Q9" s="1">
        <v>828</v>
      </c>
      <c r="R9" s="1">
        <v>219</v>
      </c>
      <c r="U9">
        <f t="shared" si="1"/>
        <v>705.56390977443607</v>
      </c>
    </row>
    <row r="10" spans="1:22" ht="15.75" customHeight="1">
      <c r="A10" s="114" t="s">
        <v>22</v>
      </c>
      <c r="B10" s="110" t="s">
        <v>832</v>
      </c>
      <c r="C10" s="112">
        <v>4</v>
      </c>
      <c r="D10" s="127">
        <f t="shared" si="0"/>
        <v>4.12</v>
      </c>
      <c r="E10" s="114" t="s">
        <v>692</v>
      </c>
      <c r="F10" s="112">
        <v>60</v>
      </c>
      <c r="G10" s="112" t="s">
        <v>1396</v>
      </c>
      <c r="H10" s="111">
        <v>1</v>
      </c>
      <c r="I10" s="111">
        <v>10</v>
      </c>
      <c r="J10" s="112">
        <v>120</v>
      </c>
      <c r="K10" s="112">
        <v>10</v>
      </c>
      <c r="L10" s="112">
        <v>50</v>
      </c>
      <c r="N10" s="1">
        <v>13316</v>
      </c>
      <c r="P10" s="1">
        <v>363</v>
      </c>
      <c r="Q10" s="1">
        <v>1033</v>
      </c>
      <c r="R10" s="1">
        <v>135</v>
      </c>
      <c r="U10">
        <f t="shared" si="1"/>
        <v>967.54820936639123</v>
      </c>
    </row>
    <row r="11" spans="1:22" ht="15.75" customHeight="1">
      <c r="A11" s="110" t="s">
        <v>23</v>
      </c>
      <c r="B11" s="110" t="s">
        <v>832</v>
      </c>
      <c r="C11" s="112">
        <v>4</v>
      </c>
      <c r="D11" s="127">
        <f t="shared" si="0"/>
        <v>4.12</v>
      </c>
      <c r="E11" s="114" t="s">
        <v>692</v>
      </c>
      <c r="F11" s="112">
        <v>60</v>
      </c>
      <c r="G11" s="112" t="s">
        <v>1396</v>
      </c>
      <c r="H11" s="111">
        <v>1</v>
      </c>
      <c r="I11" s="111">
        <v>10</v>
      </c>
      <c r="J11" s="112">
        <v>120</v>
      </c>
      <c r="K11" s="112">
        <v>10</v>
      </c>
      <c r="L11" s="112">
        <v>50</v>
      </c>
      <c r="N11" s="1">
        <v>13316</v>
      </c>
      <c r="P11" s="1">
        <v>364</v>
      </c>
      <c r="Q11" s="1">
        <v>977</v>
      </c>
      <c r="R11" s="1">
        <v>134</v>
      </c>
      <c r="U11">
        <f t="shared" si="1"/>
        <v>912.58241758241763</v>
      </c>
    </row>
    <row r="12" spans="1:22" ht="15.75" customHeight="1">
      <c r="A12" s="110" t="s">
        <v>24</v>
      </c>
      <c r="B12" s="110" t="s">
        <v>832</v>
      </c>
      <c r="C12" s="112">
        <v>4</v>
      </c>
      <c r="D12" s="127">
        <f t="shared" si="0"/>
        <v>4.12</v>
      </c>
      <c r="E12" s="114" t="s">
        <v>692</v>
      </c>
      <c r="F12" s="112">
        <v>60</v>
      </c>
      <c r="G12" s="112" t="s">
        <v>1121</v>
      </c>
      <c r="H12" s="111">
        <v>1</v>
      </c>
      <c r="I12" s="111">
        <v>10</v>
      </c>
      <c r="J12" s="112">
        <v>120</v>
      </c>
      <c r="K12" s="112">
        <v>10</v>
      </c>
      <c r="L12" s="112">
        <v>50</v>
      </c>
      <c r="M12" s="182">
        <v>42178.542893518519</v>
      </c>
      <c r="N12" s="1">
        <v>11676</v>
      </c>
      <c r="P12" s="1">
        <v>351</v>
      </c>
      <c r="Q12" s="1">
        <v>1089</v>
      </c>
      <c r="R12" s="1">
        <v>81</v>
      </c>
      <c r="U12">
        <f t="shared" si="1"/>
        <v>1054.8717948717949</v>
      </c>
      <c r="V12">
        <f>AVERAGE(U12:U14)</f>
        <v>1095.0371197667023</v>
      </c>
    </row>
    <row r="13" spans="1:22" ht="15.75" customHeight="1">
      <c r="A13" s="110" t="s">
        <v>25</v>
      </c>
      <c r="B13" s="110" t="s">
        <v>832</v>
      </c>
      <c r="C13" s="112">
        <v>4</v>
      </c>
      <c r="D13" s="127">
        <f t="shared" si="0"/>
        <v>4.12</v>
      </c>
      <c r="E13" s="114" t="s">
        <v>692</v>
      </c>
      <c r="F13" s="112">
        <v>60</v>
      </c>
      <c r="G13" s="112" t="s">
        <v>1121</v>
      </c>
      <c r="H13" s="111">
        <v>1</v>
      </c>
      <c r="I13" s="111">
        <v>10</v>
      </c>
      <c r="J13" s="112">
        <v>120</v>
      </c>
      <c r="K13" s="112">
        <v>10</v>
      </c>
      <c r="L13" s="112">
        <v>50</v>
      </c>
      <c r="N13" s="1">
        <v>10905</v>
      </c>
      <c r="P13" s="1">
        <v>380</v>
      </c>
      <c r="Q13" s="1">
        <v>1274</v>
      </c>
      <c r="R13" s="1">
        <v>11</v>
      </c>
      <c r="U13">
        <f t="shared" si="1"/>
        <v>1139.8947368421052</v>
      </c>
    </row>
    <row r="14" spans="1:22" ht="15.75" customHeight="1">
      <c r="A14" s="110" t="s">
        <v>26</v>
      </c>
      <c r="B14" s="110" t="s">
        <v>832</v>
      </c>
      <c r="C14" s="112">
        <v>4</v>
      </c>
      <c r="D14" s="127">
        <f t="shared" si="0"/>
        <v>4.12</v>
      </c>
      <c r="E14" s="114" t="s">
        <v>692</v>
      </c>
      <c r="F14" s="112">
        <v>60</v>
      </c>
      <c r="G14" s="112" t="s">
        <v>1121</v>
      </c>
      <c r="H14" s="111">
        <v>1</v>
      </c>
      <c r="I14" s="111">
        <v>10</v>
      </c>
      <c r="J14" s="112">
        <v>120</v>
      </c>
      <c r="K14" s="112">
        <v>10</v>
      </c>
      <c r="L14" s="112">
        <v>50</v>
      </c>
      <c r="N14" s="1">
        <v>11671</v>
      </c>
      <c r="P14" s="1">
        <v>348</v>
      </c>
      <c r="Q14" s="1">
        <v>1116</v>
      </c>
      <c r="R14" s="1">
        <v>81</v>
      </c>
      <c r="U14">
        <f t="shared" si="1"/>
        <v>1090.344827586207</v>
      </c>
    </row>
    <row r="15" spans="1:22" ht="15.75" customHeight="1">
      <c r="A15" s="110" t="s">
        <v>27</v>
      </c>
      <c r="B15" s="110" t="s">
        <v>832</v>
      </c>
      <c r="C15" s="112">
        <v>4</v>
      </c>
      <c r="D15" s="127">
        <f t="shared" si="0"/>
        <v>4.12</v>
      </c>
      <c r="E15" s="114" t="s">
        <v>692</v>
      </c>
      <c r="F15" s="112">
        <v>120</v>
      </c>
      <c r="G15" s="112" t="s">
        <v>1121</v>
      </c>
      <c r="H15" s="111">
        <v>1</v>
      </c>
      <c r="I15" s="111">
        <v>10</v>
      </c>
      <c r="J15" s="112">
        <v>120</v>
      </c>
      <c r="K15" s="112">
        <v>10</v>
      </c>
      <c r="L15" s="112">
        <v>50</v>
      </c>
      <c r="N15" s="1">
        <v>12668</v>
      </c>
      <c r="P15" s="1">
        <v>350</v>
      </c>
      <c r="Q15" s="1">
        <v>933</v>
      </c>
      <c r="R15" s="1">
        <v>159</v>
      </c>
      <c r="U15">
        <f t="shared" si="1"/>
        <v>906.34285714285716</v>
      </c>
      <c r="V15">
        <f>AVERAGE(U15:U17)</f>
        <v>735.42832533530202</v>
      </c>
    </row>
    <row r="16" spans="1:22" ht="15.75" customHeight="1">
      <c r="A16" s="110" t="s">
        <v>28</v>
      </c>
      <c r="B16" s="110" t="s">
        <v>832</v>
      </c>
      <c r="C16" s="112">
        <v>4</v>
      </c>
      <c r="D16" s="127">
        <f t="shared" si="0"/>
        <v>4.12</v>
      </c>
      <c r="E16" s="114" t="s">
        <v>692</v>
      </c>
      <c r="F16" s="112">
        <v>120</v>
      </c>
      <c r="G16" s="112" t="s">
        <v>1121</v>
      </c>
      <c r="H16" s="111">
        <v>1</v>
      </c>
      <c r="I16" s="111">
        <v>10</v>
      </c>
      <c r="J16" s="112">
        <v>120</v>
      </c>
      <c r="K16" s="112">
        <v>10</v>
      </c>
      <c r="L16" s="112">
        <v>50</v>
      </c>
      <c r="N16" s="1">
        <v>11497</v>
      </c>
      <c r="P16" s="1">
        <v>450</v>
      </c>
      <c r="Q16" s="1">
        <v>974</v>
      </c>
      <c r="R16" s="1">
        <v>131</v>
      </c>
      <c r="U16">
        <f t="shared" si="1"/>
        <v>735.91111111111104</v>
      </c>
    </row>
    <row r="17" spans="1:21" ht="15.75" customHeight="1">
      <c r="A17" s="110" t="s">
        <v>29</v>
      </c>
      <c r="B17" s="110" t="s">
        <v>832</v>
      </c>
      <c r="C17" s="112">
        <v>4</v>
      </c>
      <c r="D17" s="127">
        <f t="shared" si="0"/>
        <v>4.12</v>
      </c>
      <c r="E17" s="114" t="s">
        <v>692</v>
      </c>
      <c r="F17" s="112">
        <v>120</v>
      </c>
      <c r="G17" s="112" t="s">
        <v>1121</v>
      </c>
      <c r="H17" s="111">
        <v>1</v>
      </c>
      <c r="I17" s="111">
        <v>10</v>
      </c>
      <c r="J17" s="112">
        <v>120</v>
      </c>
      <c r="K17" s="112">
        <v>10</v>
      </c>
      <c r="L17" s="112">
        <v>50</v>
      </c>
      <c r="N17" s="1">
        <v>13192</v>
      </c>
      <c r="P17" s="1">
        <v>387</v>
      </c>
      <c r="Q17" s="1">
        <v>642</v>
      </c>
      <c r="R17" s="1">
        <v>231</v>
      </c>
      <c r="U17">
        <f t="shared" si="1"/>
        <v>564.03100775193798</v>
      </c>
    </row>
    <row r="18" spans="1:21" ht="15.75" customHeight="1">
      <c r="A18" s="110"/>
      <c r="B18" s="110"/>
      <c r="C18" s="112"/>
      <c r="D18" s="127"/>
      <c r="E18" s="114"/>
      <c r="F18" s="1"/>
      <c r="G18" s="112"/>
      <c r="H18" s="1"/>
      <c r="I18" s="111"/>
      <c r="J18" s="112"/>
      <c r="K18" s="112"/>
      <c r="N18" s="1"/>
      <c r="P18" s="1"/>
      <c r="Q18" s="1"/>
      <c r="R18" s="1"/>
    </row>
    <row r="19" spans="1:21" ht="15.75" customHeight="1">
      <c r="A19" s="110"/>
      <c r="B19" s="110"/>
      <c r="C19" s="112"/>
      <c r="D19" s="127"/>
      <c r="E19" s="114"/>
      <c r="F19" s="1"/>
      <c r="G19" s="112"/>
      <c r="H19" s="1"/>
      <c r="I19" s="111"/>
      <c r="J19" s="112"/>
      <c r="K19" s="112"/>
      <c r="N19" s="1"/>
      <c r="P19" s="1"/>
      <c r="Q19" s="1"/>
      <c r="R19" s="1"/>
    </row>
    <row r="20" spans="1:21" ht="15.75" customHeight="1">
      <c r="A20" s="1"/>
      <c r="B20" s="110"/>
      <c r="C20" s="112"/>
      <c r="D20" s="127"/>
      <c r="E20" s="114"/>
      <c r="F20" s="1"/>
      <c r="G20" s="112"/>
      <c r="H20" s="1"/>
      <c r="I20" s="111"/>
      <c r="J20" s="112"/>
      <c r="K20" s="112"/>
      <c r="N20" s="1"/>
      <c r="P20" s="1"/>
      <c r="Q20" s="1"/>
      <c r="R20" s="1"/>
    </row>
    <row r="21" spans="1:21" ht="15.75" customHeight="1">
      <c r="A21" s="114"/>
      <c r="B21" s="114" t="s">
        <v>300</v>
      </c>
      <c r="C21" s="127">
        <f>SUM(C5:C20)</f>
        <v>52</v>
      </c>
      <c r="I21" s="1" t="s">
        <v>300</v>
      </c>
      <c r="J21">
        <f>SUM(J5:J17)</f>
        <v>1560</v>
      </c>
    </row>
    <row r="22" spans="1:21" ht="15.75" customHeight="1">
      <c r="A22" s="114"/>
    </row>
    <row r="23" spans="1:21" ht="15.75" customHeight="1">
      <c r="A23" s="125" t="s">
        <v>1040</v>
      </c>
      <c r="J23" s="125" t="s">
        <v>968</v>
      </c>
      <c r="K23" s="114"/>
      <c r="L23" s="114"/>
    </row>
    <row r="24" spans="1:21" ht="15.75" customHeight="1">
      <c r="A24" s="1" t="s">
        <v>1397</v>
      </c>
      <c r="J24" s="114" t="s">
        <v>970</v>
      </c>
      <c r="K24" s="114" t="s">
        <v>47</v>
      </c>
      <c r="L24" s="114" t="s">
        <v>300</v>
      </c>
    </row>
    <row r="25" spans="1:21" ht="15.75" customHeight="1">
      <c r="A25" s="1" t="s">
        <v>1398</v>
      </c>
      <c r="I25" s="1" t="s">
        <v>1237</v>
      </c>
      <c r="J25" s="125" t="s">
        <v>301</v>
      </c>
      <c r="K25" s="126">
        <v>0.5</v>
      </c>
    </row>
    <row r="26" spans="1:21" ht="15.75" customHeight="1">
      <c r="A26" s="1" t="s">
        <v>1399</v>
      </c>
      <c r="J26" s="112">
        <v>850</v>
      </c>
      <c r="K26" s="127">
        <f>J26/K25-J26</f>
        <v>850</v>
      </c>
      <c r="L26" s="127">
        <f>SUM(J26:K26)</f>
        <v>1700</v>
      </c>
    </row>
    <row r="27" spans="1:21" ht="15.75" customHeight="1">
      <c r="A27" s="1" t="s">
        <v>1400</v>
      </c>
      <c r="I27" s="1" t="s">
        <v>1392</v>
      </c>
      <c r="J27" s="168" t="s">
        <v>1393</v>
      </c>
      <c r="K27" s="112">
        <v>0.5</v>
      </c>
      <c r="L27" s="127"/>
    </row>
    <row r="28" spans="1:21" ht="15.75" customHeight="1">
      <c r="A28" s="1" t="s">
        <v>1401</v>
      </c>
      <c r="J28" s="112">
        <v>200</v>
      </c>
      <c r="K28" s="127">
        <f>J28/K27-J28</f>
        <v>200</v>
      </c>
      <c r="L28" s="127">
        <f>SUM(J28:K28)</f>
        <v>400</v>
      </c>
    </row>
    <row r="29" spans="1:21" ht="15.75" customHeight="1">
      <c r="A29" s="1" t="s">
        <v>1391</v>
      </c>
      <c r="I29" s="1"/>
      <c r="J29" s="5"/>
      <c r="K29" s="1"/>
    </row>
    <row r="30" spans="1:21" ht="15.75" customHeight="1">
      <c r="A30" s="1"/>
      <c r="J30" s="112"/>
      <c r="K30" s="127"/>
      <c r="L30" s="127"/>
    </row>
    <row r="31" spans="1:21" ht="15.75" customHeight="1">
      <c r="A31" s="1"/>
      <c r="I31" s="1"/>
      <c r="J31" s="5"/>
      <c r="K31" s="1"/>
    </row>
    <row r="32" spans="1:21" ht="15.75" customHeight="1">
      <c r="A32" s="1"/>
      <c r="J32" s="112"/>
      <c r="K32" s="127"/>
      <c r="L32" s="127"/>
    </row>
    <row r="33" spans="1:1" ht="15.75" customHeight="1">
      <c r="A33" s="1"/>
    </row>
    <row r="34" spans="1:1" ht="15.75" customHeight="1">
      <c r="A34" s="1"/>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workbookViewId="0"/>
  </sheetViews>
  <sheetFormatPr defaultColWidth="14.42578125" defaultRowHeight="15.75" customHeight="1"/>
  <cols>
    <col min="6" max="7" width="16.7109375" customWidth="1"/>
    <col min="10" max="10" width="23.42578125" customWidth="1"/>
  </cols>
  <sheetData>
    <row r="1" spans="1:21" ht="15.75" customHeight="1">
      <c r="A1" s="1" t="s">
        <v>1330</v>
      </c>
      <c r="T1" s="1">
        <v>340</v>
      </c>
    </row>
    <row r="3" spans="1:21" ht="15.75" customHeight="1">
      <c r="A3" s="114" t="s">
        <v>1</v>
      </c>
      <c r="B3" s="114" t="s">
        <v>659</v>
      </c>
      <c r="C3" s="114" t="s">
        <v>660</v>
      </c>
      <c r="D3" s="114" t="s">
        <v>661</v>
      </c>
      <c r="E3" s="114" t="s">
        <v>1032</v>
      </c>
      <c r="F3" s="110" t="s">
        <v>1374</v>
      </c>
      <c r="G3" s="110" t="s">
        <v>1295</v>
      </c>
      <c r="H3" s="114" t="s">
        <v>97</v>
      </c>
      <c r="I3" s="114" t="s">
        <v>664</v>
      </c>
      <c r="J3" s="114" t="s">
        <v>665</v>
      </c>
      <c r="K3" s="114" t="s">
        <v>666</v>
      </c>
      <c r="L3" s="114" t="s">
        <v>667</v>
      </c>
      <c r="N3" s="1" t="s">
        <v>6</v>
      </c>
      <c r="O3" s="1" t="s">
        <v>7</v>
      </c>
      <c r="P3" s="1" t="s">
        <v>8</v>
      </c>
      <c r="Q3" s="1" t="s">
        <v>9</v>
      </c>
      <c r="R3" s="1" t="s">
        <v>10</v>
      </c>
      <c r="T3" s="1" t="s">
        <v>1297</v>
      </c>
      <c r="U3" s="1" t="s">
        <v>1402</v>
      </c>
    </row>
    <row r="4" spans="1:21" ht="15.75" customHeight="1">
      <c r="A4" s="114" t="s">
        <v>962</v>
      </c>
      <c r="B4" s="114"/>
      <c r="C4" s="114"/>
      <c r="D4" s="114"/>
      <c r="E4" s="114"/>
      <c r="F4" s="114"/>
      <c r="G4" s="114"/>
      <c r="H4" s="114"/>
      <c r="I4" s="114"/>
      <c r="J4" s="114"/>
      <c r="L4" s="114"/>
    </row>
    <row r="5" spans="1:21" ht="15.75" customHeight="1">
      <c r="A5" s="114" t="s">
        <v>17</v>
      </c>
      <c r="B5" s="110" t="s">
        <v>591</v>
      </c>
      <c r="C5" s="111">
        <v>4</v>
      </c>
      <c r="D5" s="127">
        <f t="shared" ref="D5:D19" si="0">C5+J5/1000</f>
        <v>4.12</v>
      </c>
      <c r="E5" s="114" t="s">
        <v>692</v>
      </c>
      <c r="F5" s="112">
        <v>60</v>
      </c>
      <c r="G5" s="112" t="s">
        <v>1121</v>
      </c>
      <c r="H5" s="111">
        <v>1</v>
      </c>
      <c r="I5" s="111">
        <v>10</v>
      </c>
      <c r="J5" s="112">
        <v>120</v>
      </c>
      <c r="K5" s="112">
        <v>10</v>
      </c>
      <c r="L5" s="111"/>
      <c r="N5" s="1">
        <v>13097</v>
      </c>
      <c r="O5" s="1"/>
      <c r="P5" s="1">
        <v>364</v>
      </c>
      <c r="Q5" s="1">
        <v>783</v>
      </c>
      <c r="R5" s="1">
        <v>186</v>
      </c>
      <c r="T5">
        <f t="shared" ref="T5:T19" si="1">$T$1/P5*Q5</f>
        <v>731.37362637362639</v>
      </c>
      <c r="U5">
        <f>AVERAGE(T5:T7)</f>
        <v>820.91452811377587</v>
      </c>
    </row>
    <row r="6" spans="1:21" ht="15.75" customHeight="1">
      <c r="A6" s="114" t="s">
        <v>18</v>
      </c>
      <c r="B6" s="110" t="s">
        <v>591</v>
      </c>
      <c r="C6" s="111">
        <v>4</v>
      </c>
      <c r="D6" s="127">
        <f t="shared" si="0"/>
        <v>4.12</v>
      </c>
      <c r="E6" s="114" t="s">
        <v>692</v>
      </c>
      <c r="F6" s="112">
        <v>60</v>
      </c>
      <c r="G6" s="112" t="s">
        <v>1121</v>
      </c>
      <c r="H6" s="111">
        <v>1</v>
      </c>
      <c r="I6" s="111">
        <v>10</v>
      </c>
      <c r="J6" s="112">
        <v>120</v>
      </c>
      <c r="K6" s="112">
        <v>10</v>
      </c>
      <c r="L6" s="111"/>
      <c r="N6" s="1">
        <v>13215</v>
      </c>
      <c r="P6" s="1">
        <v>382</v>
      </c>
      <c r="Q6" s="1">
        <v>1008</v>
      </c>
      <c r="R6" s="1">
        <v>138</v>
      </c>
      <c r="T6">
        <f t="shared" si="1"/>
        <v>897.17277486910996</v>
      </c>
    </row>
    <row r="7" spans="1:21" ht="15.75" customHeight="1">
      <c r="A7" s="114" t="s">
        <v>19</v>
      </c>
      <c r="B7" s="110" t="s">
        <v>591</v>
      </c>
      <c r="C7" s="111">
        <v>4</v>
      </c>
      <c r="D7" s="127">
        <f t="shared" si="0"/>
        <v>4.12</v>
      </c>
      <c r="E7" s="114" t="s">
        <v>692</v>
      </c>
      <c r="F7" s="112">
        <v>60</v>
      </c>
      <c r="G7" s="112" t="s">
        <v>1121</v>
      </c>
      <c r="H7" s="111">
        <v>1</v>
      </c>
      <c r="I7" s="111">
        <v>10</v>
      </c>
      <c r="J7" s="112">
        <v>120</v>
      </c>
      <c r="K7" s="112">
        <v>10</v>
      </c>
      <c r="L7" s="111"/>
      <c r="N7" s="1">
        <v>12810</v>
      </c>
      <c r="P7" s="1">
        <v>355</v>
      </c>
      <c r="Q7" s="1">
        <v>871</v>
      </c>
      <c r="R7" s="1">
        <v>137</v>
      </c>
      <c r="T7">
        <f t="shared" si="1"/>
        <v>834.19718309859149</v>
      </c>
    </row>
    <row r="8" spans="1:21" ht="15.75" customHeight="1">
      <c r="A8" s="114" t="s">
        <v>20</v>
      </c>
      <c r="B8" s="110" t="s">
        <v>591</v>
      </c>
      <c r="C8" s="112">
        <v>4</v>
      </c>
      <c r="D8" s="127">
        <f t="shared" si="0"/>
        <v>4.12</v>
      </c>
      <c r="E8" s="114" t="s">
        <v>692</v>
      </c>
      <c r="F8" s="112">
        <v>60</v>
      </c>
      <c r="G8" s="112" t="s">
        <v>1121</v>
      </c>
      <c r="H8" s="112">
        <v>2</v>
      </c>
      <c r="I8" s="111">
        <v>10</v>
      </c>
      <c r="J8" s="112">
        <v>120</v>
      </c>
      <c r="K8" s="112">
        <v>10</v>
      </c>
      <c r="L8" s="111"/>
      <c r="N8" s="1">
        <v>12664</v>
      </c>
      <c r="P8" s="1">
        <v>334</v>
      </c>
      <c r="Q8" s="1">
        <v>899</v>
      </c>
      <c r="R8" s="1">
        <v>138</v>
      </c>
      <c r="T8">
        <f t="shared" si="1"/>
        <v>915.14970059880238</v>
      </c>
      <c r="U8">
        <f>AVERAGE(T8:T10)</f>
        <v>806.72871569505025</v>
      </c>
    </row>
    <row r="9" spans="1:21" ht="15.75" customHeight="1">
      <c r="A9" s="114" t="s">
        <v>21</v>
      </c>
      <c r="B9" s="110" t="s">
        <v>591</v>
      </c>
      <c r="C9" s="112">
        <v>4</v>
      </c>
      <c r="D9" s="127">
        <f t="shared" si="0"/>
        <v>4.12</v>
      </c>
      <c r="E9" s="114" t="s">
        <v>692</v>
      </c>
      <c r="F9" s="112">
        <v>60</v>
      </c>
      <c r="G9" s="112" t="s">
        <v>1121</v>
      </c>
      <c r="H9" s="112">
        <v>2</v>
      </c>
      <c r="I9" s="111">
        <v>10</v>
      </c>
      <c r="J9" s="112">
        <v>120</v>
      </c>
      <c r="K9" s="112">
        <v>10</v>
      </c>
      <c r="L9" s="111"/>
      <c r="N9" s="1">
        <v>12996</v>
      </c>
      <c r="P9" s="1">
        <v>361</v>
      </c>
      <c r="Q9" s="1">
        <v>966</v>
      </c>
      <c r="R9" s="1">
        <v>154</v>
      </c>
      <c r="T9">
        <f t="shared" si="1"/>
        <v>909.80609418282552</v>
      </c>
    </row>
    <row r="10" spans="1:21" ht="15.75" customHeight="1">
      <c r="A10" s="114" t="s">
        <v>22</v>
      </c>
      <c r="B10" s="110" t="s">
        <v>591</v>
      </c>
      <c r="C10" s="112">
        <v>4</v>
      </c>
      <c r="D10" s="127">
        <f t="shared" si="0"/>
        <v>4.12</v>
      </c>
      <c r="E10" s="114" t="s">
        <v>692</v>
      </c>
      <c r="F10" s="112">
        <v>60</v>
      </c>
      <c r="G10" s="112" t="s">
        <v>1121</v>
      </c>
      <c r="H10" s="112">
        <v>2</v>
      </c>
      <c r="I10" s="111">
        <v>10</v>
      </c>
      <c r="J10" s="112">
        <v>120</v>
      </c>
      <c r="K10" s="112">
        <v>10</v>
      </c>
      <c r="L10" s="111"/>
      <c r="N10" s="1">
        <v>13223</v>
      </c>
      <c r="P10" s="1">
        <v>369</v>
      </c>
      <c r="Q10" s="1">
        <v>646</v>
      </c>
      <c r="R10" s="1">
        <v>243</v>
      </c>
      <c r="T10">
        <f t="shared" si="1"/>
        <v>595.23035230352309</v>
      </c>
    </row>
    <row r="11" spans="1:21" ht="15.75" customHeight="1">
      <c r="A11" s="110" t="s">
        <v>23</v>
      </c>
      <c r="B11" s="110" t="s">
        <v>591</v>
      </c>
      <c r="C11" s="112">
        <v>4</v>
      </c>
      <c r="D11" s="127">
        <f t="shared" si="0"/>
        <v>4.12</v>
      </c>
      <c r="E11" s="114" t="s">
        <v>692</v>
      </c>
      <c r="F11" s="112">
        <v>120</v>
      </c>
      <c r="G11" s="112" t="s">
        <v>1121</v>
      </c>
      <c r="H11" s="112">
        <v>2</v>
      </c>
      <c r="I11" s="111">
        <v>10</v>
      </c>
      <c r="J11" s="112">
        <v>120</v>
      </c>
      <c r="K11" s="112">
        <v>10</v>
      </c>
      <c r="L11" s="111"/>
      <c r="N11" s="1">
        <v>13676</v>
      </c>
      <c r="P11" s="1">
        <v>413</v>
      </c>
      <c r="Q11" s="1">
        <v>369</v>
      </c>
      <c r="R11" s="1">
        <v>332</v>
      </c>
      <c r="T11">
        <f t="shared" si="1"/>
        <v>303.77723970944311</v>
      </c>
      <c r="U11">
        <f>AVERAGE(T11:T13)</f>
        <v>608.81788072170559</v>
      </c>
    </row>
    <row r="12" spans="1:21" ht="15.75" customHeight="1">
      <c r="A12" s="110" t="s">
        <v>24</v>
      </c>
      <c r="B12" s="110" t="s">
        <v>591</v>
      </c>
      <c r="C12" s="112">
        <v>4</v>
      </c>
      <c r="D12" s="127">
        <f t="shared" si="0"/>
        <v>4.12</v>
      </c>
      <c r="E12" s="114" t="s">
        <v>692</v>
      </c>
      <c r="F12" s="112">
        <v>120</v>
      </c>
      <c r="G12" s="112" t="s">
        <v>1121</v>
      </c>
      <c r="H12" s="112">
        <v>2</v>
      </c>
      <c r="I12" s="111">
        <v>10</v>
      </c>
      <c r="J12" s="112">
        <v>120</v>
      </c>
      <c r="K12" s="112">
        <v>10</v>
      </c>
      <c r="L12" s="111"/>
      <c r="N12" s="1">
        <v>12601</v>
      </c>
      <c r="P12" s="1">
        <v>343</v>
      </c>
      <c r="Q12" s="1">
        <v>704</v>
      </c>
      <c r="R12" s="1">
        <v>177</v>
      </c>
      <c r="T12">
        <f t="shared" si="1"/>
        <v>697.84256559766766</v>
      </c>
    </row>
    <row r="13" spans="1:21" ht="15.75" customHeight="1">
      <c r="A13" s="110" t="s">
        <v>25</v>
      </c>
      <c r="B13" s="110" t="s">
        <v>591</v>
      </c>
      <c r="C13" s="112">
        <v>4</v>
      </c>
      <c r="D13" s="127">
        <f t="shared" si="0"/>
        <v>4.12</v>
      </c>
      <c r="E13" s="114" t="s">
        <v>692</v>
      </c>
      <c r="F13" s="112">
        <v>120</v>
      </c>
      <c r="G13" s="112" t="s">
        <v>1121</v>
      </c>
      <c r="H13" s="112">
        <v>2</v>
      </c>
      <c r="I13" s="111">
        <v>10</v>
      </c>
      <c r="J13" s="112">
        <v>120</v>
      </c>
      <c r="K13" s="112">
        <v>10</v>
      </c>
      <c r="L13" s="111"/>
      <c r="N13" s="1">
        <v>12504</v>
      </c>
      <c r="P13" s="1">
        <v>331</v>
      </c>
      <c r="Q13" s="1">
        <v>803</v>
      </c>
      <c r="R13" s="1">
        <v>136</v>
      </c>
      <c r="T13">
        <f t="shared" si="1"/>
        <v>824.83383685800618</v>
      </c>
    </row>
    <row r="14" spans="1:21" ht="15.75" customHeight="1">
      <c r="A14" s="110" t="s">
        <v>26</v>
      </c>
      <c r="B14" s="110" t="s">
        <v>832</v>
      </c>
      <c r="C14" s="112">
        <v>4</v>
      </c>
      <c r="D14" s="127">
        <f t="shared" si="0"/>
        <v>4.12</v>
      </c>
      <c r="E14" s="114" t="s">
        <v>692</v>
      </c>
      <c r="F14" s="112">
        <v>120</v>
      </c>
      <c r="G14" s="112" t="s">
        <v>1121</v>
      </c>
      <c r="H14" s="112">
        <v>2</v>
      </c>
      <c r="I14" s="111">
        <v>10</v>
      </c>
      <c r="J14" s="112">
        <v>120</v>
      </c>
      <c r="K14" s="112">
        <v>10</v>
      </c>
      <c r="L14" s="111"/>
      <c r="N14" s="1">
        <v>12422</v>
      </c>
      <c r="P14" s="1">
        <v>346</v>
      </c>
      <c r="Q14" s="1">
        <v>1042</v>
      </c>
      <c r="R14" s="1">
        <v>115</v>
      </c>
      <c r="T14">
        <f t="shared" si="1"/>
        <v>1023.9306358381502</v>
      </c>
      <c r="U14">
        <f>AVERAGE(T14:T16)</f>
        <v>941.81615187071441</v>
      </c>
    </row>
    <row r="15" spans="1:21" ht="15.75" customHeight="1">
      <c r="A15" s="110" t="s">
        <v>27</v>
      </c>
      <c r="B15" s="110" t="s">
        <v>832</v>
      </c>
      <c r="C15" s="112">
        <v>4</v>
      </c>
      <c r="D15" s="127">
        <f t="shared" si="0"/>
        <v>4.12</v>
      </c>
      <c r="E15" s="114" t="s">
        <v>692</v>
      </c>
      <c r="F15" s="112">
        <v>120</v>
      </c>
      <c r="G15" s="112" t="s">
        <v>1121</v>
      </c>
      <c r="H15" s="112">
        <v>2</v>
      </c>
      <c r="I15" s="111">
        <v>10</v>
      </c>
      <c r="J15" s="112">
        <v>120</v>
      </c>
      <c r="K15" s="112">
        <v>10</v>
      </c>
      <c r="L15" s="111"/>
      <c r="N15" s="1">
        <v>12501</v>
      </c>
      <c r="P15" s="1">
        <v>349</v>
      </c>
      <c r="Q15" s="1">
        <v>962</v>
      </c>
      <c r="R15" s="1">
        <v>126</v>
      </c>
      <c r="T15">
        <f t="shared" si="1"/>
        <v>937.19197707736396</v>
      </c>
    </row>
    <row r="16" spans="1:21" ht="15.75" customHeight="1">
      <c r="A16" s="110" t="s">
        <v>28</v>
      </c>
      <c r="B16" s="110" t="s">
        <v>832</v>
      </c>
      <c r="C16" s="112">
        <v>4</v>
      </c>
      <c r="D16" s="127">
        <f t="shared" si="0"/>
        <v>4.12</v>
      </c>
      <c r="E16" s="114" t="s">
        <v>692</v>
      </c>
      <c r="F16" s="112">
        <v>120</v>
      </c>
      <c r="G16" s="112" t="s">
        <v>1121</v>
      </c>
      <c r="H16" s="112">
        <v>2</v>
      </c>
      <c r="I16" s="111">
        <v>10</v>
      </c>
      <c r="J16" s="112">
        <v>120</v>
      </c>
      <c r="K16" s="112">
        <v>10</v>
      </c>
      <c r="L16" s="111"/>
      <c r="N16" s="1">
        <v>12502</v>
      </c>
      <c r="P16" s="1">
        <v>356</v>
      </c>
      <c r="Q16" s="1">
        <v>905</v>
      </c>
      <c r="R16" s="1">
        <v>166</v>
      </c>
      <c r="T16">
        <f t="shared" si="1"/>
        <v>864.32584269662925</v>
      </c>
    </row>
    <row r="17" spans="1:21" ht="15.75" customHeight="1">
      <c r="A17" s="110" t="s">
        <v>29</v>
      </c>
      <c r="B17" s="1" t="s">
        <v>591</v>
      </c>
      <c r="C17" s="112">
        <v>4</v>
      </c>
      <c r="D17" s="127">
        <f t="shared" si="0"/>
        <v>4.12</v>
      </c>
      <c r="E17" s="114" t="s">
        <v>692</v>
      </c>
      <c r="F17" s="1">
        <v>60</v>
      </c>
      <c r="G17" s="112" t="s">
        <v>1121</v>
      </c>
      <c r="H17" s="1">
        <v>3</v>
      </c>
      <c r="I17" s="111">
        <v>10</v>
      </c>
      <c r="J17" s="112">
        <v>120</v>
      </c>
      <c r="K17" s="112">
        <v>10</v>
      </c>
      <c r="N17" s="1">
        <v>11883</v>
      </c>
      <c r="P17" s="1">
        <v>320</v>
      </c>
      <c r="Q17" s="1">
        <v>901</v>
      </c>
      <c r="R17" s="1">
        <v>107</v>
      </c>
      <c r="T17">
        <f t="shared" si="1"/>
        <v>957.3125</v>
      </c>
      <c r="U17">
        <f>AVERAGE(T17:T19)</f>
        <v>894.96115191244644</v>
      </c>
    </row>
    <row r="18" spans="1:21" ht="15.75" customHeight="1">
      <c r="A18" s="110" t="s">
        <v>30</v>
      </c>
      <c r="B18" s="1" t="s">
        <v>591</v>
      </c>
      <c r="C18" s="112">
        <v>4</v>
      </c>
      <c r="D18" s="127">
        <f t="shared" si="0"/>
        <v>4.12</v>
      </c>
      <c r="E18" s="114" t="s">
        <v>692</v>
      </c>
      <c r="F18" s="1">
        <v>60</v>
      </c>
      <c r="G18" s="112" t="s">
        <v>1121</v>
      </c>
      <c r="H18" s="1">
        <v>3</v>
      </c>
      <c r="I18" s="111">
        <v>10</v>
      </c>
      <c r="J18" s="112">
        <v>120</v>
      </c>
      <c r="K18" s="112">
        <v>10</v>
      </c>
      <c r="N18" s="1">
        <v>11193</v>
      </c>
      <c r="P18" s="1">
        <v>341</v>
      </c>
      <c r="Q18" s="1">
        <v>932</v>
      </c>
      <c r="R18" s="1">
        <v>80</v>
      </c>
      <c r="T18">
        <f t="shared" si="1"/>
        <v>929.26686217008796</v>
      </c>
    </row>
    <row r="19" spans="1:21" ht="15.75" customHeight="1">
      <c r="A19" s="110" t="s">
        <v>31</v>
      </c>
      <c r="B19" s="1" t="s">
        <v>591</v>
      </c>
      <c r="C19" s="112">
        <v>4</v>
      </c>
      <c r="D19" s="127">
        <f t="shared" si="0"/>
        <v>4.12</v>
      </c>
      <c r="E19" s="114" t="s">
        <v>692</v>
      </c>
      <c r="F19" s="1">
        <v>60</v>
      </c>
      <c r="G19" s="112" t="s">
        <v>1121</v>
      </c>
      <c r="H19" s="1">
        <v>3</v>
      </c>
      <c r="I19" s="111">
        <v>10</v>
      </c>
      <c r="J19" s="112">
        <v>120</v>
      </c>
      <c r="K19" s="112">
        <v>10</v>
      </c>
      <c r="N19" s="1">
        <v>11711</v>
      </c>
      <c r="P19" s="1">
        <v>342</v>
      </c>
      <c r="Q19" s="1">
        <v>803</v>
      </c>
      <c r="R19" s="1">
        <v>144</v>
      </c>
      <c r="T19">
        <f t="shared" si="1"/>
        <v>798.30409356725147</v>
      </c>
    </row>
    <row r="20" spans="1:21" ht="15.75" customHeight="1">
      <c r="A20" s="114"/>
      <c r="B20" s="114" t="s">
        <v>300</v>
      </c>
      <c r="C20" s="127">
        <f>SUM(C5:C19)</f>
        <v>60</v>
      </c>
      <c r="I20" s="1" t="s">
        <v>300</v>
      </c>
      <c r="J20">
        <f>SUM(J5:J19)</f>
        <v>1800</v>
      </c>
    </row>
    <row r="21" spans="1:21" ht="15.75" customHeight="1">
      <c r="A21" s="114"/>
    </row>
    <row r="22" spans="1:21" ht="15.75" customHeight="1">
      <c r="A22" s="125" t="s">
        <v>1040</v>
      </c>
      <c r="J22" s="125" t="s">
        <v>968</v>
      </c>
      <c r="K22" s="114"/>
      <c r="L22" s="114"/>
    </row>
    <row r="23" spans="1:21" ht="15.75" customHeight="1">
      <c r="A23" s="1" t="s">
        <v>1403</v>
      </c>
      <c r="J23" s="114" t="s">
        <v>970</v>
      </c>
      <c r="K23" s="114" t="s">
        <v>47</v>
      </c>
      <c r="L23" s="114" t="s">
        <v>300</v>
      </c>
    </row>
    <row r="24" spans="1:21" ht="15.75" customHeight="1">
      <c r="A24" s="1" t="s">
        <v>1404</v>
      </c>
      <c r="I24" s="1" t="s">
        <v>1237</v>
      </c>
      <c r="J24" s="125" t="s">
        <v>301</v>
      </c>
      <c r="K24" s="126">
        <v>0.5</v>
      </c>
    </row>
    <row r="25" spans="1:21" ht="15.75" customHeight="1">
      <c r="A25" s="1" t="s">
        <v>1405</v>
      </c>
      <c r="J25" s="112">
        <v>200</v>
      </c>
      <c r="K25" s="127">
        <f>J25/K24-J25</f>
        <v>200</v>
      </c>
      <c r="L25" s="127">
        <f>SUM(J25:K25)</f>
        <v>400</v>
      </c>
    </row>
    <row r="26" spans="1:21" ht="15.75" customHeight="1">
      <c r="A26" s="1" t="s">
        <v>1406</v>
      </c>
      <c r="I26" s="1" t="s">
        <v>1392</v>
      </c>
      <c r="J26" s="168" t="s">
        <v>1393</v>
      </c>
      <c r="K26" s="112">
        <v>0.5</v>
      </c>
      <c r="L26" s="127"/>
    </row>
    <row r="27" spans="1:21" ht="15.75" customHeight="1">
      <c r="A27" s="1" t="s">
        <v>1407</v>
      </c>
      <c r="J27" s="112">
        <v>600</v>
      </c>
      <c r="K27" s="127">
        <f>J27/K26-J27</f>
        <v>600</v>
      </c>
      <c r="L27" s="127">
        <f>SUM(J27:K27)</f>
        <v>1200</v>
      </c>
    </row>
    <row r="28" spans="1:21" ht="15.75" customHeight="1">
      <c r="A28" s="1" t="s">
        <v>1408</v>
      </c>
      <c r="I28" s="1" t="s">
        <v>1353</v>
      </c>
      <c r="J28" s="5" t="s">
        <v>1409</v>
      </c>
      <c r="K28" s="1">
        <f>J29/(J29+K29)</f>
        <v>0.44186046511627908</v>
      </c>
    </row>
    <row r="29" spans="1:21" ht="15.75" customHeight="1">
      <c r="A29" s="1" t="s">
        <v>1410</v>
      </c>
      <c r="J29" s="112">
        <f>50+140</f>
        <v>190</v>
      </c>
      <c r="K29" s="127">
        <f>40+200</f>
        <v>240</v>
      </c>
      <c r="L29" s="127"/>
    </row>
    <row r="30" spans="1:21" ht="15.75" customHeight="1">
      <c r="A30" s="1" t="s">
        <v>1411</v>
      </c>
      <c r="I30" s="1"/>
      <c r="J30" s="5"/>
      <c r="K30" s="1"/>
    </row>
    <row r="31" spans="1:21" ht="15.75" customHeight="1">
      <c r="A31" s="1" t="s">
        <v>1412</v>
      </c>
      <c r="J31" s="112"/>
      <c r="K31" s="127"/>
      <c r="L31" s="127"/>
    </row>
    <row r="32" spans="1:21" ht="15.75" customHeight="1">
      <c r="A32" s="1" t="s">
        <v>1413</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
  <sheetViews>
    <sheetView workbookViewId="0"/>
  </sheetViews>
  <sheetFormatPr defaultColWidth="14.42578125" defaultRowHeight="15.75" customHeight="1"/>
  <sheetData>
    <row r="1" spans="1:20" ht="15.75" customHeight="1">
      <c r="A1" s="1" t="s">
        <v>1414</v>
      </c>
      <c r="T1" s="1" t="s">
        <v>8</v>
      </c>
    </row>
    <row r="2" spans="1:20" ht="15.75" customHeight="1">
      <c r="T2" s="1">
        <v>340</v>
      </c>
    </row>
    <row r="3" spans="1:20" ht="15.75" customHeight="1">
      <c r="A3" s="114" t="s">
        <v>1</v>
      </c>
      <c r="B3" s="114" t="s">
        <v>659</v>
      </c>
      <c r="C3" s="114" t="s">
        <v>660</v>
      </c>
      <c r="D3" s="114" t="s">
        <v>661</v>
      </c>
      <c r="E3" s="114" t="s">
        <v>1032</v>
      </c>
      <c r="F3" s="110" t="s">
        <v>1415</v>
      </c>
      <c r="G3" s="114" t="s">
        <v>97</v>
      </c>
      <c r="H3" s="114" t="s">
        <v>664</v>
      </c>
      <c r="I3" s="114" t="s">
        <v>665</v>
      </c>
      <c r="J3" s="114" t="s">
        <v>666</v>
      </c>
      <c r="K3" s="114" t="s">
        <v>667</v>
      </c>
      <c r="M3" s="1" t="s">
        <v>6</v>
      </c>
      <c r="N3" s="1" t="s">
        <v>7</v>
      </c>
      <c r="O3" s="1" t="s">
        <v>8</v>
      </c>
      <c r="P3" s="1" t="s">
        <v>9</v>
      </c>
      <c r="Q3" s="1" t="s">
        <v>10</v>
      </c>
      <c r="S3" s="1" t="s">
        <v>1297</v>
      </c>
    </row>
    <row r="4" spans="1:20" ht="15.75" customHeight="1">
      <c r="A4" s="114" t="s">
        <v>962</v>
      </c>
      <c r="B4" s="114"/>
      <c r="C4" s="114"/>
      <c r="D4" s="114"/>
      <c r="E4" s="114"/>
      <c r="F4" s="114"/>
      <c r="G4" s="114"/>
      <c r="H4" s="114"/>
      <c r="I4" s="114"/>
      <c r="K4" s="114"/>
    </row>
    <row r="5" spans="1:20" ht="15.75" customHeight="1">
      <c r="A5" s="114" t="s">
        <v>17</v>
      </c>
      <c r="B5" s="110" t="s">
        <v>832</v>
      </c>
      <c r="C5" s="111">
        <v>4</v>
      </c>
      <c r="D5" s="127">
        <f t="shared" ref="D5:D16" si="0">C5+I5/1000</f>
        <v>4.12</v>
      </c>
      <c r="E5" s="114" t="s">
        <v>692</v>
      </c>
      <c r="F5" s="112" t="s">
        <v>1416</v>
      </c>
      <c r="G5" s="111">
        <v>1</v>
      </c>
      <c r="H5" s="112">
        <v>20</v>
      </c>
      <c r="I5" s="112">
        <v>120</v>
      </c>
      <c r="J5" s="112">
        <v>10</v>
      </c>
      <c r="K5" s="111">
        <v>50</v>
      </c>
      <c r="M5" s="1">
        <v>12827</v>
      </c>
      <c r="O5" s="1">
        <v>428</v>
      </c>
      <c r="P5" s="1">
        <v>846</v>
      </c>
      <c r="Q5" s="1">
        <v>187</v>
      </c>
      <c r="S5">
        <f t="shared" ref="S5:S16" si="1">$T$2/O5*P5</f>
        <v>672.0560747663551</v>
      </c>
    </row>
    <row r="6" spans="1:20" ht="15.75" customHeight="1">
      <c r="A6" s="114" t="s">
        <v>18</v>
      </c>
      <c r="B6" s="110" t="s">
        <v>832</v>
      </c>
      <c r="C6" s="111">
        <v>4</v>
      </c>
      <c r="D6" s="127">
        <f t="shared" si="0"/>
        <v>4.12</v>
      </c>
      <c r="E6" s="114" t="s">
        <v>692</v>
      </c>
      <c r="F6" s="112" t="s">
        <v>1416</v>
      </c>
      <c r="G6" s="111">
        <v>1</v>
      </c>
      <c r="H6" s="112">
        <v>20</v>
      </c>
      <c r="I6" s="112">
        <v>120</v>
      </c>
      <c r="J6" s="112">
        <v>10</v>
      </c>
      <c r="K6" s="111">
        <v>50</v>
      </c>
      <c r="M6" s="1">
        <v>12084</v>
      </c>
      <c r="O6" s="1">
        <v>516</v>
      </c>
      <c r="P6" s="1">
        <v>858</v>
      </c>
      <c r="Q6" s="1">
        <v>152</v>
      </c>
      <c r="S6">
        <f t="shared" si="1"/>
        <v>565.34883720930225</v>
      </c>
    </row>
    <row r="7" spans="1:20" ht="15.75" customHeight="1">
      <c r="A7" s="114" t="s">
        <v>19</v>
      </c>
      <c r="B7" s="110" t="s">
        <v>832</v>
      </c>
      <c r="C7" s="111">
        <v>4</v>
      </c>
      <c r="D7" s="127">
        <f t="shared" si="0"/>
        <v>4.12</v>
      </c>
      <c r="E7" s="114" t="s">
        <v>692</v>
      </c>
      <c r="F7" s="112" t="s">
        <v>1416</v>
      </c>
      <c r="G7" s="111">
        <v>1</v>
      </c>
      <c r="H7" s="112">
        <v>20</v>
      </c>
      <c r="I7" s="112">
        <v>120</v>
      </c>
      <c r="J7" s="112">
        <v>10</v>
      </c>
      <c r="K7" s="111">
        <v>50</v>
      </c>
      <c r="M7" s="1"/>
      <c r="O7" s="1"/>
      <c r="P7" s="1"/>
      <c r="Q7" s="1"/>
      <c r="S7" t="e">
        <f t="shared" si="1"/>
        <v>#DIV/0!</v>
      </c>
    </row>
    <row r="8" spans="1:20" ht="15.75" customHeight="1">
      <c r="A8" s="114" t="s">
        <v>20</v>
      </c>
      <c r="B8" s="110" t="s">
        <v>832</v>
      </c>
      <c r="C8" s="111">
        <v>4</v>
      </c>
      <c r="D8" s="127">
        <f t="shared" si="0"/>
        <v>4.24</v>
      </c>
      <c r="E8" s="114" t="s">
        <v>692</v>
      </c>
      <c r="F8" s="112" t="s">
        <v>1416</v>
      </c>
      <c r="G8" s="111">
        <v>1</v>
      </c>
      <c r="H8" s="112">
        <v>20</v>
      </c>
      <c r="I8" s="112">
        <v>240</v>
      </c>
      <c r="J8" s="112">
        <v>10</v>
      </c>
      <c r="K8" s="111">
        <v>50</v>
      </c>
      <c r="M8" s="1">
        <v>13179</v>
      </c>
      <c r="O8" s="1">
        <v>496</v>
      </c>
      <c r="P8" s="1">
        <v>490</v>
      </c>
      <c r="Q8" s="1">
        <v>305</v>
      </c>
      <c r="S8">
        <f t="shared" si="1"/>
        <v>335.88709677419354</v>
      </c>
    </row>
    <row r="9" spans="1:20" ht="15.75" customHeight="1">
      <c r="A9" s="114" t="s">
        <v>21</v>
      </c>
      <c r="B9" s="110" t="s">
        <v>832</v>
      </c>
      <c r="C9" s="111">
        <v>4</v>
      </c>
      <c r="D9" s="127">
        <f t="shared" si="0"/>
        <v>4.24</v>
      </c>
      <c r="E9" s="114" t="s">
        <v>692</v>
      </c>
      <c r="F9" s="112" t="s">
        <v>1416</v>
      </c>
      <c r="G9" s="111">
        <v>1</v>
      </c>
      <c r="H9" s="112">
        <v>20</v>
      </c>
      <c r="I9" s="112">
        <v>240</v>
      </c>
      <c r="J9" s="112">
        <v>10</v>
      </c>
      <c r="K9" s="111">
        <v>50</v>
      </c>
      <c r="M9" s="1">
        <v>13161</v>
      </c>
      <c r="O9" s="1">
        <v>442</v>
      </c>
      <c r="P9" s="1">
        <v>549</v>
      </c>
      <c r="Q9" s="1">
        <v>242</v>
      </c>
      <c r="S9">
        <f t="shared" si="1"/>
        <v>422.30769230769232</v>
      </c>
    </row>
    <row r="10" spans="1:20" ht="15.75" customHeight="1">
      <c r="A10" s="114" t="s">
        <v>22</v>
      </c>
      <c r="B10" s="110" t="s">
        <v>832</v>
      </c>
      <c r="C10" s="111">
        <v>4</v>
      </c>
      <c r="D10" s="127">
        <f t="shared" si="0"/>
        <v>4</v>
      </c>
      <c r="E10" s="114" t="s">
        <v>692</v>
      </c>
      <c r="F10" s="112" t="s">
        <v>1416</v>
      </c>
      <c r="G10" s="111">
        <v>1</v>
      </c>
      <c r="H10" s="112">
        <v>20</v>
      </c>
      <c r="I10" s="112"/>
      <c r="J10" s="112">
        <v>10</v>
      </c>
      <c r="K10" s="111">
        <v>50</v>
      </c>
      <c r="M10" s="1"/>
      <c r="O10" s="1"/>
      <c r="P10" s="1"/>
      <c r="Q10" s="1"/>
      <c r="S10" t="e">
        <f t="shared" si="1"/>
        <v>#DIV/0!</v>
      </c>
    </row>
    <row r="11" spans="1:20" ht="15.75" customHeight="1">
      <c r="A11" s="114" t="s">
        <v>23</v>
      </c>
      <c r="B11" s="110" t="s">
        <v>1417</v>
      </c>
      <c r="C11" s="111">
        <v>4</v>
      </c>
      <c r="D11" s="127">
        <f t="shared" si="0"/>
        <v>4.12</v>
      </c>
      <c r="E11" s="114" t="s">
        <v>692</v>
      </c>
      <c r="F11" s="112" t="s">
        <v>1416</v>
      </c>
      <c r="G11" s="111">
        <v>1</v>
      </c>
      <c r="H11" s="112">
        <v>20</v>
      </c>
      <c r="I11" s="112">
        <v>120</v>
      </c>
      <c r="J11" s="112">
        <v>10</v>
      </c>
      <c r="K11" s="111">
        <v>50</v>
      </c>
      <c r="M11" s="1">
        <v>12217</v>
      </c>
      <c r="O11" s="1">
        <v>411</v>
      </c>
      <c r="P11" s="1">
        <v>872</v>
      </c>
      <c r="Q11" s="1">
        <v>181</v>
      </c>
      <c r="S11">
        <f t="shared" si="1"/>
        <v>721.36253041362534</v>
      </c>
    </row>
    <row r="12" spans="1:20" ht="15.75" customHeight="1">
      <c r="A12" s="114" t="s">
        <v>24</v>
      </c>
      <c r="B12" s="110" t="s">
        <v>1417</v>
      </c>
      <c r="C12" s="111">
        <v>4</v>
      </c>
      <c r="D12" s="127">
        <f t="shared" si="0"/>
        <v>4.12</v>
      </c>
      <c r="E12" s="114" t="s">
        <v>692</v>
      </c>
      <c r="F12" s="112" t="s">
        <v>1416</v>
      </c>
      <c r="G12" s="111">
        <v>1</v>
      </c>
      <c r="H12" s="112">
        <v>20</v>
      </c>
      <c r="I12" s="112">
        <v>120</v>
      </c>
      <c r="J12" s="112">
        <v>10</v>
      </c>
      <c r="K12" s="111">
        <v>50</v>
      </c>
      <c r="M12" s="1">
        <v>12188</v>
      </c>
      <c r="O12" s="1">
        <v>492</v>
      </c>
      <c r="P12" s="1">
        <v>728</v>
      </c>
      <c r="Q12" s="1">
        <v>195</v>
      </c>
      <c r="S12">
        <f t="shared" si="1"/>
        <v>503.08943089430892</v>
      </c>
    </row>
    <row r="13" spans="1:20" ht="15.75" customHeight="1">
      <c r="A13" s="114" t="s">
        <v>25</v>
      </c>
      <c r="B13" s="110" t="s">
        <v>1417</v>
      </c>
      <c r="C13" s="111">
        <v>4</v>
      </c>
      <c r="D13" s="127">
        <f t="shared" si="0"/>
        <v>4.12</v>
      </c>
      <c r="E13" s="114" t="s">
        <v>692</v>
      </c>
      <c r="F13" s="112" t="s">
        <v>1416</v>
      </c>
      <c r="G13" s="111">
        <v>1</v>
      </c>
      <c r="H13" s="112">
        <v>20</v>
      </c>
      <c r="I13" s="112">
        <v>120</v>
      </c>
      <c r="J13" s="112">
        <v>10</v>
      </c>
      <c r="K13" s="111">
        <v>50</v>
      </c>
      <c r="M13" s="1">
        <v>12024</v>
      </c>
      <c r="O13" s="1">
        <v>409</v>
      </c>
      <c r="P13" s="1">
        <v>887</v>
      </c>
      <c r="Q13" s="1">
        <v>160</v>
      </c>
      <c r="S13">
        <f t="shared" si="1"/>
        <v>737.35941320293398</v>
      </c>
    </row>
    <row r="14" spans="1:20" ht="15.75" customHeight="1">
      <c r="A14" s="114" t="s">
        <v>26</v>
      </c>
      <c r="B14" s="110" t="s">
        <v>1418</v>
      </c>
      <c r="C14" s="111">
        <v>4</v>
      </c>
      <c r="D14" s="127">
        <f t="shared" si="0"/>
        <v>4.12</v>
      </c>
      <c r="E14" s="114" t="s">
        <v>692</v>
      </c>
      <c r="F14" s="112" t="s">
        <v>1416</v>
      </c>
      <c r="G14" s="111">
        <v>1</v>
      </c>
      <c r="H14" s="112">
        <v>20</v>
      </c>
      <c r="I14" s="112">
        <v>120</v>
      </c>
      <c r="J14" s="112">
        <v>10</v>
      </c>
      <c r="K14" s="111">
        <v>50</v>
      </c>
      <c r="M14" s="1">
        <v>12321</v>
      </c>
      <c r="O14" s="1">
        <v>358</v>
      </c>
      <c r="P14" s="1">
        <v>994</v>
      </c>
      <c r="Q14" s="1">
        <v>123</v>
      </c>
      <c r="S14">
        <f t="shared" si="1"/>
        <v>944.02234636871503</v>
      </c>
    </row>
    <row r="15" spans="1:20" ht="15.75" customHeight="1">
      <c r="A15" s="114" t="s">
        <v>27</v>
      </c>
      <c r="B15" s="110" t="s">
        <v>1418</v>
      </c>
      <c r="C15" s="111">
        <v>4</v>
      </c>
      <c r="D15" s="127">
        <f t="shared" si="0"/>
        <v>4.12</v>
      </c>
      <c r="E15" s="114" t="s">
        <v>692</v>
      </c>
      <c r="F15" s="112" t="s">
        <v>1416</v>
      </c>
      <c r="G15" s="111">
        <v>1</v>
      </c>
      <c r="H15" s="112">
        <v>20</v>
      </c>
      <c r="I15" s="112">
        <v>120</v>
      </c>
      <c r="J15" s="112">
        <v>10</v>
      </c>
      <c r="K15" s="111">
        <v>50</v>
      </c>
      <c r="M15" s="1">
        <v>12556</v>
      </c>
      <c r="O15" s="1">
        <v>407</v>
      </c>
      <c r="P15" s="1">
        <v>745</v>
      </c>
      <c r="Q15" s="1">
        <v>210</v>
      </c>
      <c r="S15">
        <f t="shared" si="1"/>
        <v>622.35872235872239</v>
      </c>
    </row>
    <row r="16" spans="1:20" ht="15.75" customHeight="1">
      <c r="A16" s="114" t="s">
        <v>28</v>
      </c>
      <c r="B16" s="110" t="s">
        <v>1418</v>
      </c>
      <c r="C16" s="111">
        <v>4</v>
      </c>
      <c r="D16" s="127">
        <f t="shared" si="0"/>
        <v>4.12</v>
      </c>
      <c r="E16" s="114" t="s">
        <v>692</v>
      </c>
      <c r="F16" s="112" t="s">
        <v>1416</v>
      </c>
      <c r="G16" s="111">
        <v>1</v>
      </c>
      <c r="H16" s="112">
        <v>20</v>
      </c>
      <c r="I16" s="112">
        <v>120</v>
      </c>
      <c r="J16" s="112">
        <v>10</v>
      </c>
      <c r="K16" s="111">
        <v>50</v>
      </c>
      <c r="M16" s="1">
        <v>12193</v>
      </c>
      <c r="O16" s="1">
        <v>352</v>
      </c>
      <c r="P16" s="1">
        <v>1013</v>
      </c>
      <c r="Q16" s="1">
        <v>112</v>
      </c>
      <c r="S16">
        <f t="shared" si="1"/>
        <v>978.46590909090912</v>
      </c>
    </row>
    <row r="17" spans="1:11" ht="15.75" customHeight="1">
      <c r="A17" s="114"/>
    </row>
    <row r="18" spans="1:11" ht="15.75" customHeight="1">
      <c r="A18" s="114"/>
      <c r="B18" s="114" t="s">
        <v>300</v>
      </c>
      <c r="C18" s="127">
        <f>SUM(C5:C17)</f>
        <v>48</v>
      </c>
      <c r="H18" s="1" t="s">
        <v>300</v>
      </c>
      <c r="I18">
        <f>SUM(I5:I17)</f>
        <v>1560</v>
      </c>
    </row>
    <row r="19" spans="1:11" ht="15.75" customHeight="1">
      <c r="A19" s="114"/>
    </row>
    <row r="20" spans="1:11" ht="15.75" customHeight="1">
      <c r="A20" s="125" t="s">
        <v>1040</v>
      </c>
      <c r="I20" s="125" t="s">
        <v>968</v>
      </c>
      <c r="J20" s="114"/>
      <c r="K20" s="114"/>
    </row>
    <row r="21" spans="1:11" ht="15.75" customHeight="1">
      <c r="A21" s="1" t="s">
        <v>1419</v>
      </c>
      <c r="I21" s="114" t="s">
        <v>970</v>
      </c>
      <c r="J21" s="114" t="s">
        <v>47</v>
      </c>
      <c r="K21" s="114" t="s">
        <v>300</v>
      </c>
    </row>
    <row r="22" spans="1:11" ht="15.75" customHeight="1">
      <c r="A22" s="1" t="s">
        <v>1420</v>
      </c>
      <c r="I22" s="125" t="s">
        <v>301</v>
      </c>
      <c r="J22" s="126">
        <v>0.5</v>
      </c>
    </row>
    <row r="23" spans="1:11" ht="15.75" customHeight="1">
      <c r="A23" s="1" t="s">
        <v>1421</v>
      </c>
      <c r="I23" s="112">
        <v>800</v>
      </c>
      <c r="J23" s="127">
        <f>I23/J22-I23</f>
        <v>800</v>
      </c>
      <c r="K23" s="127">
        <f>SUM(I23:J23)</f>
        <v>1600</v>
      </c>
    </row>
    <row r="24" spans="1:11" ht="15.75" customHeight="1">
      <c r="A24" s="1" t="s">
        <v>1422</v>
      </c>
      <c r="I24" s="111"/>
      <c r="J24" s="127"/>
      <c r="K24" s="127"/>
    </row>
    <row r="25" spans="1:11" ht="15.75" customHeight="1">
      <c r="A25" s="1" t="s">
        <v>1423</v>
      </c>
    </row>
    <row r="26" spans="1:11" ht="15.75" customHeight="1">
      <c r="A26" s="1" t="s">
        <v>1424</v>
      </c>
    </row>
    <row r="27" spans="1:11" ht="15.75" customHeight="1">
      <c r="A27" s="1"/>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
  <sheetViews>
    <sheetView workbookViewId="0"/>
  </sheetViews>
  <sheetFormatPr defaultColWidth="14.42578125" defaultRowHeight="15.75" customHeight="1"/>
  <cols>
    <col min="6" max="6" width="19.42578125" customWidth="1"/>
    <col min="7" max="7" width="16.7109375" customWidth="1"/>
  </cols>
  <sheetData>
    <row r="1" spans="1:21" ht="15.75" customHeight="1">
      <c r="A1" s="1" t="s">
        <v>1341</v>
      </c>
      <c r="U1" s="1" t="s">
        <v>8</v>
      </c>
    </row>
    <row r="2" spans="1:21" ht="15.75" customHeight="1">
      <c r="U2" s="1">
        <v>340</v>
      </c>
    </row>
    <row r="3" spans="1:21" ht="15.75" customHeight="1">
      <c r="A3" s="114" t="s">
        <v>1</v>
      </c>
      <c r="B3" s="114" t="s">
        <v>659</v>
      </c>
      <c r="C3" s="114" t="s">
        <v>660</v>
      </c>
      <c r="D3" s="114" t="s">
        <v>661</v>
      </c>
      <c r="E3" s="114" t="s">
        <v>1032</v>
      </c>
      <c r="F3" s="110" t="s">
        <v>1425</v>
      </c>
      <c r="G3" s="110" t="s">
        <v>1295</v>
      </c>
      <c r="H3" s="114" t="s">
        <v>97</v>
      </c>
      <c r="I3" s="114" t="s">
        <v>664</v>
      </c>
      <c r="J3" s="114" t="s">
        <v>665</v>
      </c>
      <c r="K3" s="114" t="s">
        <v>666</v>
      </c>
      <c r="L3" s="114" t="s">
        <v>667</v>
      </c>
      <c r="N3" s="1" t="s">
        <v>6</v>
      </c>
      <c r="O3" s="1" t="s">
        <v>7</v>
      </c>
      <c r="P3" s="1" t="s">
        <v>8</v>
      </c>
      <c r="Q3" s="1" t="s">
        <v>9</v>
      </c>
      <c r="R3" s="1" t="s">
        <v>10</v>
      </c>
      <c r="T3" s="1" t="s">
        <v>1297</v>
      </c>
      <c r="U3" s="1" t="s">
        <v>1332</v>
      </c>
    </row>
    <row r="4" spans="1:21" ht="15.75" customHeight="1">
      <c r="A4" s="114" t="s">
        <v>962</v>
      </c>
      <c r="B4" s="114"/>
      <c r="C4" s="114"/>
      <c r="D4" s="114"/>
      <c r="E4" s="114"/>
      <c r="F4" s="114"/>
      <c r="G4" s="114"/>
      <c r="H4" s="114"/>
      <c r="I4" s="114"/>
      <c r="J4" s="114"/>
      <c r="L4" s="114"/>
    </row>
    <row r="5" spans="1:21" ht="15.75" customHeight="1">
      <c r="A5" s="114" t="s">
        <v>17</v>
      </c>
      <c r="B5" s="110" t="s">
        <v>832</v>
      </c>
      <c r="C5" s="111">
        <v>4</v>
      </c>
      <c r="D5" s="127">
        <f t="shared" ref="D5:D19" si="0">C5+J5/1000</f>
        <v>4.12</v>
      </c>
      <c r="E5" s="114" t="s">
        <v>692</v>
      </c>
      <c r="F5" s="112">
        <v>15</v>
      </c>
      <c r="G5" s="112" t="s">
        <v>1121</v>
      </c>
      <c r="H5" s="111">
        <v>1</v>
      </c>
      <c r="I5" s="111">
        <v>10</v>
      </c>
      <c r="J5" s="112">
        <v>120</v>
      </c>
      <c r="K5" s="112">
        <v>10</v>
      </c>
      <c r="L5" s="112">
        <v>50</v>
      </c>
      <c r="N5" s="1">
        <v>13441</v>
      </c>
      <c r="O5" s="1"/>
      <c r="P5" s="1">
        <v>395</v>
      </c>
      <c r="Q5" s="1">
        <v>760</v>
      </c>
      <c r="R5" s="1">
        <v>234</v>
      </c>
      <c r="T5">
        <f t="shared" ref="T5:T19" si="1">$U$2/P5*Q5</f>
        <v>654.17721518987344</v>
      </c>
      <c r="U5">
        <f>AVERAGE(T5:T7)</f>
        <v>623.12870722663513</v>
      </c>
    </row>
    <row r="6" spans="1:21" ht="15.75" customHeight="1">
      <c r="A6" s="114" t="s">
        <v>18</v>
      </c>
      <c r="B6" s="110" t="s">
        <v>832</v>
      </c>
      <c r="C6" s="111">
        <v>4</v>
      </c>
      <c r="D6" s="127">
        <f t="shared" si="0"/>
        <v>4.12</v>
      </c>
      <c r="E6" s="114" t="s">
        <v>692</v>
      </c>
      <c r="F6" s="112">
        <v>15</v>
      </c>
      <c r="G6" s="112" t="s">
        <v>1121</v>
      </c>
      <c r="H6" s="111">
        <v>1</v>
      </c>
      <c r="I6" s="111">
        <v>10</v>
      </c>
      <c r="J6" s="112">
        <v>120</v>
      </c>
      <c r="K6" s="112">
        <v>10</v>
      </c>
      <c r="L6" s="112">
        <v>50</v>
      </c>
      <c r="N6" s="1">
        <v>13057</v>
      </c>
      <c r="P6" s="1">
        <v>447</v>
      </c>
      <c r="Q6" s="1">
        <v>769</v>
      </c>
      <c r="R6" s="1">
        <v>206</v>
      </c>
      <c r="T6">
        <f t="shared" si="1"/>
        <v>584.92170022371363</v>
      </c>
    </row>
    <row r="7" spans="1:21" ht="15.75" customHeight="1">
      <c r="A7" s="114" t="s">
        <v>19</v>
      </c>
      <c r="B7" s="110" t="s">
        <v>832</v>
      </c>
      <c r="C7" s="111">
        <v>4</v>
      </c>
      <c r="D7" s="127">
        <f t="shared" si="0"/>
        <v>4.12</v>
      </c>
      <c r="E7" s="114" t="s">
        <v>692</v>
      </c>
      <c r="F7" s="112">
        <v>15</v>
      </c>
      <c r="G7" s="112" t="s">
        <v>1121</v>
      </c>
      <c r="H7" s="111">
        <v>1</v>
      </c>
      <c r="I7" s="111">
        <v>10</v>
      </c>
      <c r="J7" s="112">
        <v>120</v>
      </c>
      <c r="K7" s="112">
        <v>10</v>
      </c>
      <c r="L7" s="112">
        <v>50</v>
      </c>
      <c r="N7" s="1">
        <v>13129</v>
      </c>
      <c r="P7" s="1">
        <v>383</v>
      </c>
      <c r="Q7" s="1">
        <v>710</v>
      </c>
      <c r="R7" s="1">
        <v>222</v>
      </c>
      <c r="T7">
        <f t="shared" si="1"/>
        <v>630.28720626631855</v>
      </c>
    </row>
    <row r="8" spans="1:21" ht="15.75" customHeight="1">
      <c r="A8" s="114" t="s">
        <v>20</v>
      </c>
      <c r="B8" s="110" t="s">
        <v>832</v>
      </c>
      <c r="C8" s="112">
        <v>4</v>
      </c>
      <c r="D8" s="127">
        <f t="shared" si="0"/>
        <v>4.12</v>
      </c>
      <c r="E8" s="114" t="s">
        <v>692</v>
      </c>
      <c r="F8" s="112">
        <v>30</v>
      </c>
      <c r="G8" s="112" t="s">
        <v>1121</v>
      </c>
      <c r="H8" s="111">
        <v>1</v>
      </c>
      <c r="I8" s="111">
        <v>10</v>
      </c>
      <c r="J8" s="112">
        <v>120</v>
      </c>
      <c r="K8" s="112">
        <v>10</v>
      </c>
      <c r="L8" s="112">
        <v>50</v>
      </c>
      <c r="N8" s="1">
        <v>13780</v>
      </c>
      <c r="P8" s="1">
        <v>397</v>
      </c>
      <c r="Q8" s="1">
        <v>603</v>
      </c>
      <c r="R8" s="1">
        <v>277</v>
      </c>
      <c r="T8">
        <f t="shared" si="1"/>
        <v>516.42317380352642</v>
      </c>
      <c r="U8">
        <f>AVERAGE(T8:T10)</f>
        <v>486.79081638861504</v>
      </c>
    </row>
    <row r="9" spans="1:21" ht="15.75" customHeight="1">
      <c r="A9" s="114" t="s">
        <v>21</v>
      </c>
      <c r="B9" s="110" t="s">
        <v>832</v>
      </c>
      <c r="C9" s="112">
        <v>4</v>
      </c>
      <c r="D9" s="127">
        <f t="shared" si="0"/>
        <v>4.12</v>
      </c>
      <c r="E9" s="114" t="s">
        <v>692</v>
      </c>
      <c r="F9" s="112">
        <v>30</v>
      </c>
      <c r="G9" s="112" t="s">
        <v>1121</v>
      </c>
      <c r="H9" s="111">
        <v>1</v>
      </c>
      <c r="I9" s="111">
        <v>10</v>
      </c>
      <c r="J9" s="112">
        <v>120</v>
      </c>
      <c r="K9" s="112">
        <v>10</v>
      </c>
      <c r="L9" s="112">
        <v>50</v>
      </c>
      <c r="N9" s="1">
        <v>13378</v>
      </c>
      <c r="P9" s="1">
        <v>391</v>
      </c>
      <c r="Q9" s="1">
        <v>661</v>
      </c>
      <c r="R9" s="1">
        <v>250</v>
      </c>
      <c r="T9">
        <f t="shared" si="1"/>
        <v>574.78260869565213</v>
      </c>
    </row>
    <row r="10" spans="1:21" ht="15.75" customHeight="1">
      <c r="A10" s="114" t="s">
        <v>22</v>
      </c>
      <c r="B10" s="110" t="s">
        <v>832</v>
      </c>
      <c r="C10" s="112">
        <v>4</v>
      </c>
      <c r="D10" s="127">
        <f t="shared" si="0"/>
        <v>4.12</v>
      </c>
      <c r="E10" s="114" t="s">
        <v>692</v>
      </c>
      <c r="F10" s="112">
        <v>30</v>
      </c>
      <c r="G10" s="112" t="s">
        <v>1121</v>
      </c>
      <c r="H10" s="111">
        <v>1</v>
      </c>
      <c r="I10" s="111">
        <v>10</v>
      </c>
      <c r="J10" s="112">
        <v>120</v>
      </c>
      <c r="K10" s="112">
        <v>10</v>
      </c>
      <c r="L10" s="112">
        <v>50</v>
      </c>
      <c r="N10" s="1">
        <v>13836</v>
      </c>
      <c r="P10" s="1">
        <v>408</v>
      </c>
      <c r="Q10" s="1">
        <v>443</v>
      </c>
      <c r="R10" s="1">
        <v>332</v>
      </c>
      <c r="T10">
        <f t="shared" si="1"/>
        <v>369.16666666666669</v>
      </c>
    </row>
    <row r="11" spans="1:21" ht="15.75" customHeight="1">
      <c r="A11" s="110" t="s">
        <v>23</v>
      </c>
      <c r="B11" s="110" t="s">
        <v>832</v>
      </c>
      <c r="C11" s="112">
        <v>4</v>
      </c>
      <c r="D11" s="127">
        <f t="shared" si="0"/>
        <v>4.12</v>
      </c>
      <c r="E11" s="114" t="s">
        <v>692</v>
      </c>
      <c r="F11" s="112">
        <v>45</v>
      </c>
      <c r="G11" s="112" t="s">
        <v>1121</v>
      </c>
      <c r="H11" s="111">
        <v>1</v>
      </c>
      <c r="I11" s="111">
        <v>10</v>
      </c>
      <c r="J11" s="112">
        <v>120</v>
      </c>
      <c r="K11" s="112">
        <v>10</v>
      </c>
      <c r="L11" s="112">
        <v>50</v>
      </c>
      <c r="N11" s="1">
        <v>13397</v>
      </c>
      <c r="P11" s="1">
        <v>380</v>
      </c>
      <c r="Q11" s="1">
        <v>624</v>
      </c>
      <c r="R11" s="1">
        <v>261</v>
      </c>
      <c r="T11">
        <f t="shared" si="1"/>
        <v>558.31578947368416</v>
      </c>
      <c r="U11">
        <f>AVERAGE(T11:T13)</f>
        <v>591.27546057377992</v>
      </c>
    </row>
    <row r="12" spans="1:21" ht="15.75" customHeight="1">
      <c r="A12" s="110" t="s">
        <v>24</v>
      </c>
      <c r="B12" s="110" t="s">
        <v>832</v>
      </c>
      <c r="C12" s="112">
        <v>4</v>
      </c>
      <c r="D12" s="127">
        <f t="shared" si="0"/>
        <v>4.12</v>
      </c>
      <c r="E12" s="114" t="s">
        <v>692</v>
      </c>
      <c r="F12" s="112">
        <v>45</v>
      </c>
      <c r="G12" s="112" t="s">
        <v>1121</v>
      </c>
      <c r="H12" s="111">
        <v>1</v>
      </c>
      <c r="I12" s="111">
        <v>10</v>
      </c>
      <c r="J12" s="112">
        <v>120</v>
      </c>
      <c r="K12" s="112">
        <v>10</v>
      </c>
      <c r="L12" s="112">
        <v>50</v>
      </c>
      <c r="N12" s="1">
        <v>13192</v>
      </c>
      <c r="P12" s="1">
        <v>395</v>
      </c>
      <c r="Q12" s="1">
        <v>660</v>
      </c>
      <c r="R12" s="1">
        <v>223</v>
      </c>
      <c r="T12">
        <f t="shared" si="1"/>
        <v>568.10126582278485</v>
      </c>
    </row>
    <row r="13" spans="1:21" ht="15.75" customHeight="1">
      <c r="A13" s="110" t="s">
        <v>25</v>
      </c>
      <c r="B13" s="110" t="s">
        <v>832</v>
      </c>
      <c r="C13" s="112">
        <v>4</v>
      </c>
      <c r="D13" s="127">
        <f t="shared" si="0"/>
        <v>4.12</v>
      </c>
      <c r="E13" s="114" t="s">
        <v>692</v>
      </c>
      <c r="F13" s="112">
        <v>45</v>
      </c>
      <c r="G13" s="112" t="s">
        <v>1121</v>
      </c>
      <c r="H13" s="111">
        <v>1</v>
      </c>
      <c r="I13" s="111">
        <v>10</v>
      </c>
      <c r="J13" s="112">
        <v>120</v>
      </c>
      <c r="K13" s="112">
        <v>10</v>
      </c>
      <c r="L13" s="112">
        <v>50</v>
      </c>
      <c r="N13" s="1">
        <v>13495</v>
      </c>
      <c r="P13" s="1">
        <v>386</v>
      </c>
      <c r="Q13" s="1">
        <v>735</v>
      </c>
      <c r="R13" s="1">
        <v>227</v>
      </c>
      <c r="T13">
        <f t="shared" si="1"/>
        <v>647.40932642487053</v>
      </c>
    </row>
    <row r="14" spans="1:21" ht="15.75" customHeight="1">
      <c r="A14" s="110" t="s">
        <v>26</v>
      </c>
      <c r="B14" s="110" t="s">
        <v>832</v>
      </c>
      <c r="C14" s="112">
        <v>4</v>
      </c>
      <c r="D14" s="127">
        <f t="shared" si="0"/>
        <v>4.12</v>
      </c>
      <c r="E14" s="114" t="s">
        <v>692</v>
      </c>
      <c r="F14" s="112">
        <v>60</v>
      </c>
      <c r="G14" s="112" t="s">
        <v>1121</v>
      </c>
      <c r="H14" s="111">
        <v>1</v>
      </c>
      <c r="I14" s="111">
        <v>10</v>
      </c>
      <c r="J14" s="112">
        <v>120</v>
      </c>
      <c r="K14" s="112">
        <v>10</v>
      </c>
      <c r="L14" s="112">
        <v>50</v>
      </c>
      <c r="N14" s="1">
        <v>14539</v>
      </c>
      <c r="P14" s="1">
        <v>470</v>
      </c>
      <c r="Q14" s="1">
        <v>226</v>
      </c>
      <c r="R14" s="1">
        <v>384</v>
      </c>
      <c r="T14">
        <f t="shared" si="1"/>
        <v>163.48936170212767</v>
      </c>
      <c r="U14">
        <f>AVERAGE(T14:T16)</f>
        <v>97.759288091747251</v>
      </c>
    </row>
    <row r="15" spans="1:21" ht="15.75" customHeight="1">
      <c r="A15" s="110" t="s">
        <v>27</v>
      </c>
      <c r="B15" s="110" t="s">
        <v>832</v>
      </c>
      <c r="C15" s="112">
        <v>4</v>
      </c>
      <c r="D15" s="127">
        <f t="shared" si="0"/>
        <v>4.12</v>
      </c>
      <c r="E15" s="114" t="s">
        <v>692</v>
      </c>
      <c r="F15" s="112">
        <v>60</v>
      </c>
      <c r="G15" s="112" t="s">
        <v>1121</v>
      </c>
      <c r="H15" s="111">
        <v>1</v>
      </c>
      <c r="I15" s="111">
        <v>10</v>
      </c>
      <c r="J15" s="112">
        <v>120</v>
      </c>
      <c r="K15" s="112">
        <v>10</v>
      </c>
      <c r="L15" s="112">
        <v>50</v>
      </c>
      <c r="N15" s="1">
        <v>14341</v>
      </c>
      <c r="P15" s="1">
        <v>514</v>
      </c>
      <c r="Q15" s="1">
        <v>76</v>
      </c>
      <c r="R15" s="1">
        <v>430</v>
      </c>
      <c r="T15">
        <f t="shared" si="1"/>
        <v>50.27237354085603</v>
      </c>
    </row>
    <row r="16" spans="1:21" ht="15.75" customHeight="1">
      <c r="A16" s="110" t="s">
        <v>28</v>
      </c>
      <c r="B16" s="110" t="s">
        <v>832</v>
      </c>
      <c r="C16" s="112">
        <v>4</v>
      </c>
      <c r="D16" s="127">
        <f t="shared" si="0"/>
        <v>4.12</v>
      </c>
      <c r="E16" s="114" t="s">
        <v>692</v>
      </c>
      <c r="F16" s="112">
        <v>60</v>
      </c>
      <c r="G16" s="112" t="s">
        <v>1121</v>
      </c>
      <c r="H16" s="111">
        <v>1</v>
      </c>
      <c r="I16" s="111">
        <v>10</v>
      </c>
      <c r="J16" s="112">
        <v>120</v>
      </c>
      <c r="K16" s="112">
        <v>10</v>
      </c>
      <c r="L16" s="112">
        <v>50</v>
      </c>
      <c r="N16" s="1">
        <v>14149</v>
      </c>
      <c r="P16" s="1">
        <v>496</v>
      </c>
      <c r="Q16" s="1">
        <v>116</v>
      </c>
      <c r="R16" s="1">
        <v>412</v>
      </c>
      <c r="T16">
        <f t="shared" si="1"/>
        <v>79.516129032258064</v>
      </c>
    </row>
    <row r="17" spans="1:21" ht="15.75" customHeight="1">
      <c r="A17" s="110" t="s">
        <v>29</v>
      </c>
      <c r="B17" s="110" t="s">
        <v>832</v>
      </c>
      <c r="C17" s="112">
        <v>4</v>
      </c>
      <c r="D17" s="127">
        <f t="shared" si="0"/>
        <v>4.12</v>
      </c>
      <c r="E17" s="114" t="s">
        <v>692</v>
      </c>
      <c r="F17" s="112">
        <v>0</v>
      </c>
      <c r="G17" s="112" t="s">
        <v>1121</v>
      </c>
      <c r="H17" s="111">
        <v>1</v>
      </c>
      <c r="I17" s="111">
        <v>10</v>
      </c>
      <c r="J17" s="112">
        <v>120</v>
      </c>
      <c r="K17" s="112">
        <v>10</v>
      </c>
      <c r="L17" s="112">
        <v>50</v>
      </c>
      <c r="N17" s="1">
        <v>10796</v>
      </c>
      <c r="P17" s="1">
        <v>366</v>
      </c>
      <c r="Q17" s="1">
        <v>1229</v>
      </c>
      <c r="R17" s="1">
        <v>25</v>
      </c>
      <c r="T17">
        <f t="shared" si="1"/>
        <v>1141.6939890710382</v>
      </c>
      <c r="U17">
        <f>AVERAGE(T17:T19)</f>
        <v>1072.8663731093318</v>
      </c>
    </row>
    <row r="18" spans="1:21" ht="15.75" customHeight="1">
      <c r="A18" s="110" t="s">
        <v>30</v>
      </c>
      <c r="B18" s="110" t="s">
        <v>832</v>
      </c>
      <c r="C18" s="112">
        <v>4</v>
      </c>
      <c r="D18" s="127">
        <f t="shared" si="0"/>
        <v>4.12</v>
      </c>
      <c r="E18" s="114" t="s">
        <v>692</v>
      </c>
      <c r="F18" s="112">
        <v>0</v>
      </c>
      <c r="G18" s="112" t="s">
        <v>1121</v>
      </c>
      <c r="H18" s="111">
        <v>1</v>
      </c>
      <c r="I18" s="111">
        <v>10</v>
      </c>
      <c r="J18" s="112">
        <v>120</v>
      </c>
      <c r="K18" s="112">
        <v>10</v>
      </c>
      <c r="L18" s="112">
        <v>50</v>
      </c>
      <c r="N18" s="1">
        <v>10148</v>
      </c>
      <c r="P18" s="1">
        <v>489</v>
      </c>
      <c r="Q18" s="1">
        <v>1204</v>
      </c>
      <c r="R18" s="1">
        <v>33</v>
      </c>
      <c r="T18">
        <f t="shared" si="1"/>
        <v>837.13701431492836</v>
      </c>
    </row>
    <row r="19" spans="1:21" ht="15.75" customHeight="1">
      <c r="A19" s="110" t="s">
        <v>31</v>
      </c>
      <c r="B19" s="110" t="s">
        <v>832</v>
      </c>
      <c r="C19" s="112">
        <v>4</v>
      </c>
      <c r="D19" s="127">
        <f t="shared" si="0"/>
        <v>4.12</v>
      </c>
      <c r="E19" s="114" t="s">
        <v>692</v>
      </c>
      <c r="F19" s="112">
        <v>0</v>
      </c>
      <c r="G19" s="112" t="s">
        <v>1121</v>
      </c>
      <c r="H19" s="111">
        <v>1</v>
      </c>
      <c r="I19" s="111">
        <v>10</v>
      </c>
      <c r="J19" s="112">
        <v>120</v>
      </c>
      <c r="K19" s="112">
        <v>10</v>
      </c>
      <c r="L19" s="112">
        <v>50</v>
      </c>
      <c r="N19" s="1">
        <v>10878</v>
      </c>
      <c r="P19" s="1">
        <v>345</v>
      </c>
      <c r="Q19" s="1">
        <v>1258</v>
      </c>
      <c r="R19" s="1">
        <v>12</v>
      </c>
      <c r="T19">
        <f t="shared" si="1"/>
        <v>1239.768115942029</v>
      </c>
    </row>
    <row r="20" spans="1:21" ht="15.75" customHeight="1">
      <c r="A20" s="114"/>
      <c r="B20" s="114"/>
      <c r="C20" s="127"/>
      <c r="I20" s="1"/>
    </row>
    <row r="21" spans="1:21" ht="15.75" customHeight="1">
      <c r="A21" s="114"/>
      <c r="B21" s="114" t="s">
        <v>300</v>
      </c>
      <c r="C21" s="127">
        <f>SUM(C5:C19)</f>
        <v>60</v>
      </c>
      <c r="I21" s="1" t="s">
        <v>300</v>
      </c>
      <c r="J21">
        <f>SUM(J5:J19)</f>
        <v>1800</v>
      </c>
    </row>
    <row r="22" spans="1:21" ht="15.75" customHeight="1">
      <c r="A22" s="114"/>
    </row>
    <row r="23" spans="1:21" ht="15.75" customHeight="1">
      <c r="A23" s="125" t="s">
        <v>1040</v>
      </c>
      <c r="J23" s="125" t="s">
        <v>968</v>
      </c>
      <c r="K23" s="114"/>
      <c r="L23" s="114"/>
      <c r="T23" s="1">
        <v>800</v>
      </c>
    </row>
    <row r="24" spans="1:21" ht="15.75" customHeight="1">
      <c r="A24" s="1" t="s">
        <v>1426</v>
      </c>
      <c r="J24" s="114" t="s">
        <v>970</v>
      </c>
      <c r="K24" s="114" t="s">
        <v>47</v>
      </c>
      <c r="L24" s="114" t="s">
        <v>300</v>
      </c>
      <c r="T24" s="1">
        <v>600</v>
      </c>
    </row>
    <row r="25" spans="1:21" ht="15.75" customHeight="1">
      <c r="A25" s="1" t="s">
        <v>1427</v>
      </c>
      <c r="I25" s="1" t="s">
        <v>1237</v>
      </c>
      <c r="J25" s="125" t="s">
        <v>301</v>
      </c>
      <c r="K25" s="126">
        <v>0.5</v>
      </c>
      <c r="T25" s="1">
        <v>600</v>
      </c>
    </row>
    <row r="26" spans="1:21" ht="15.75" customHeight="1">
      <c r="A26" s="1" t="s">
        <v>1428</v>
      </c>
      <c r="J26" s="112">
        <v>770</v>
      </c>
      <c r="K26" s="127">
        <f>J26/K25-J26</f>
        <v>770</v>
      </c>
      <c r="L26" s="127">
        <f>SUM(J26:K26)</f>
        <v>1540</v>
      </c>
      <c r="T26" s="1">
        <v>900</v>
      </c>
    </row>
    <row r="27" spans="1:21" ht="15.75" customHeight="1">
      <c r="A27" s="1" t="s">
        <v>1429</v>
      </c>
      <c r="I27" s="1"/>
      <c r="J27" s="168"/>
      <c r="K27" s="112"/>
      <c r="L27" s="127"/>
      <c r="T27" s="1">
        <v>900</v>
      </c>
    </row>
    <row r="28" spans="1:21" ht="15.75" customHeight="1">
      <c r="A28" s="1" t="s">
        <v>1430</v>
      </c>
      <c r="J28" s="112"/>
      <c r="K28" s="127"/>
      <c r="L28" s="127"/>
      <c r="T28" s="1">
        <v>500</v>
      </c>
    </row>
    <row r="29" spans="1:21" ht="15.75" customHeight="1">
      <c r="A29" s="1" t="s">
        <v>1431</v>
      </c>
      <c r="I29" s="1"/>
      <c r="J29" s="5"/>
      <c r="K29" s="1"/>
      <c r="T29" s="1">
        <v>400</v>
      </c>
    </row>
    <row r="30" spans="1:21" ht="15.75" customHeight="1">
      <c r="A30" s="1" t="s">
        <v>1432</v>
      </c>
      <c r="J30" s="112"/>
      <c r="K30" s="127"/>
      <c r="L30" s="127"/>
      <c r="T30" s="1">
        <v>600</v>
      </c>
    </row>
    <row r="31" spans="1:21" ht="15.75" customHeight="1">
      <c r="A31" s="1" t="s">
        <v>1433</v>
      </c>
      <c r="I31" s="1"/>
      <c r="J31" s="5"/>
      <c r="K31" s="1"/>
      <c r="T31" s="1">
        <v>300</v>
      </c>
    </row>
    <row r="32" spans="1:21" ht="15.75" customHeight="1">
      <c r="J32" s="112"/>
      <c r="K32" s="127"/>
      <c r="L32" s="127"/>
      <c r="T32" s="1">
        <v>300</v>
      </c>
    </row>
    <row r="33" spans="20:20" ht="15.75" customHeight="1">
      <c r="T33" s="1">
        <v>200</v>
      </c>
    </row>
    <row r="34" spans="20:20" ht="15.75" customHeight="1">
      <c r="T34" s="1">
        <v>400</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workbookViewId="0"/>
  </sheetViews>
  <sheetFormatPr defaultColWidth="14.42578125" defaultRowHeight="15.75" customHeight="1"/>
  <sheetData>
    <row r="1" spans="1:21" ht="15.75" customHeight="1">
      <c r="A1" s="1" t="s">
        <v>1434</v>
      </c>
      <c r="U1" s="1" t="s">
        <v>8</v>
      </c>
    </row>
    <row r="2" spans="1:21" ht="15.75" customHeight="1">
      <c r="U2" s="1">
        <v>340</v>
      </c>
    </row>
    <row r="3" spans="1:21" ht="15.75" customHeight="1">
      <c r="A3" s="114" t="s">
        <v>1</v>
      </c>
      <c r="B3" s="114" t="s">
        <v>659</v>
      </c>
      <c r="C3" s="114" t="s">
        <v>660</v>
      </c>
      <c r="D3" s="114" t="s">
        <v>661</v>
      </c>
      <c r="E3" s="114" t="s">
        <v>1032</v>
      </c>
      <c r="F3" s="110" t="s">
        <v>1415</v>
      </c>
      <c r="G3" s="114" t="s">
        <v>97</v>
      </c>
      <c r="H3" s="114" t="s">
        <v>664</v>
      </c>
      <c r="I3" s="114" t="s">
        <v>665</v>
      </c>
      <c r="J3" s="114" t="s">
        <v>666</v>
      </c>
      <c r="K3" s="114" t="s">
        <v>667</v>
      </c>
      <c r="L3" s="1" t="s">
        <v>1435</v>
      </c>
      <c r="N3" s="1" t="s">
        <v>6</v>
      </c>
      <c r="O3" s="1" t="s">
        <v>7</v>
      </c>
      <c r="P3" s="1" t="s">
        <v>8</v>
      </c>
      <c r="Q3" s="1" t="s">
        <v>9</v>
      </c>
      <c r="R3" s="1" t="s">
        <v>10</v>
      </c>
      <c r="T3" s="1" t="s">
        <v>1297</v>
      </c>
    </row>
    <row r="4" spans="1:21" ht="15.75" customHeight="1">
      <c r="A4" s="114" t="s">
        <v>962</v>
      </c>
      <c r="B4" s="114"/>
      <c r="C4" s="114"/>
      <c r="D4" s="114"/>
      <c r="E4" s="114"/>
      <c r="F4" s="114"/>
      <c r="G4" s="114"/>
      <c r="H4" s="114"/>
      <c r="I4" s="114"/>
      <c r="K4" s="114"/>
    </row>
    <row r="5" spans="1:21" ht="15.75" customHeight="1">
      <c r="A5" s="114" t="s">
        <v>17</v>
      </c>
      <c r="B5" s="114" t="s">
        <v>591</v>
      </c>
      <c r="C5" s="111">
        <v>4</v>
      </c>
      <c r="D5" s="127">
        <f t="shared" ref="D5:D16" si="0">C5+I5/1000</f>
        <v>4.12</v>
      </c>
      <c r="E5" s="114" t="s">
        <v>692</v>
      </c>
      <c r="F5" s="112" t="s">
        <v>1416</v>
      </c>
      <c r="G5" s="111">
        <v>1</v>
      </c>
      <c r="H5" s="112">
        <v>20</v>
      </c>
      <c r="I5" s="112">
        <v>120</v>
      </c>
      <c r="J5" s="112">
        <v>10</v>
      </c>
      <c r="K5" s="111">
        <v>50</v>
      </c>
      <c r="L5" s="1">
        <v>0</v>
      </c>
      <c r="N5" s="1">
        <v>12899</v>
      </c>
      <c r="P5" s="1">
        <v>439</v>
      </c>
      <c r="Q5" s="1">
        <v>892</v>
      </c>
      <c r="R5" s="1">
        <v>162</v>
      </c>
      <c r="T5">
        <f t="shared" ref="T5:T16" si="1">$U$2/P5*Q5</f>
        <v>690.84282460136671</v>
      </c>
    </row>
    <row r="6" spans="1:21" ht="15.75" customHeight="1">
      <c r="A6" s="114" t="s">
        <v>18</v>
      </c>
      <c r="B6" s="114" t="s">
        <v>591</v>
      </c>
      <c r="C6" s="111">
        <v>4</v>
      </c>
      <c r="D6" s="127">
        <f t="shared" si="0"/>
        <v>4.12</v>
      </c>
      <c r="E6" s="114" t="s">
        <v>692</v>
      </c>
      <c r="F6" s="112" t="s">
        <v>1416</v>
      </c>
      <c r="G6" s="111">
        <v>1</v>
      </c>
      <c r="H6" s="112">
        <v>20</v>
      </c>
      <c r="I6" s="112">
        <v>120</v>
      </c>
      <c r="J6" s="112">
        <v>10</v>
      </c>
      <c r="K6" s="111">
        <v>50</v>
      </c>
      <c r="L6" s="1">
        <v>0</v>
      </c>
      <c r="N6" s="1">
        <v>12819</v>
      </c>
      <c r="P6" s="1">
        <v>444</v>
      </c>
      <c r="Q6" s="1">
        <v>880</v>
      </c>
      <c r="R6" s="1">
        <v>166</v>
      </c>
      <c r="T6">
        <f t="shared" si="1"/>
        <v>673.87387387387378</v>
      </c>
    </row>
    <row r="7" spans="1:21" ht="15.75" customHeight="1">
      <c r="A7" s="114" t="s">
        <v>19</v>
      </c>
      <c r="B7" s="114" t="s">
        <v>591</v>
      </c>
      <c r="C7" s="111">
        <v>4</v>
      </c>
      <c r="D7" s="127">
        <f t="shared" si="0"/>
        <v>4.12</v>
      </c>
      <c r="E7" s="114" t="s">
        <v>692</v>
      </c>
      <c r="F7" s="112" t="s">
        <v>1416</v>
      </c>
      <c r="G7" s="111">
        <v>1</v>
      </c>
      <c r="H7" s="112">
        <v>20</v>
      </c>
      <c r="I7" s="112">
        <v>120</v>
      </c>
      <c r="J7" s="112">
        <v>10</v>
      </c>
      <c r="K7" s="111">
        <v>50</v>
      </c>
      <c r="L7" s="1">
        <v>0</v>
      </c>
      <c r="N7" s="1">
        <v>12353</v>
      </c>
      <c r="P7" s="1">
        <v>427</v>
      </c>
      <c r="Q7" s="1">
        <v>975</v>
      </c>
      <c r="R7" s="1">
        <v>129</v>
      </c>
      <c r="T7">
        <f t="shared" si="1"/>
        <v>776.34660421545664</v>
      </c>
    </row>
    <row r="8" spans="1:21" ht="15.75" customHeight="1">
      <c r="A8" s="114" t="s">
        <v>20</v>
      </c>
      <c r="B8" s="110" t="s">
        <v>832</v>
      </c>
      <c r="C8" s="111">
        <v>4</v>
      </c>
      <c r="D8" s="127">
        <f t="shared" si="0"/>
        <v>4.12</v>
      </c>
      <c r="E8" s="114" t="s">
        <v>692</v>
      </c>
      <c r="F8" s="112" t="s">
        <v>1416</v>
      </c>
      <c r="G8" s="111">
        <v>1</v>
      </c>
      <c r="H8" s="112">
        <v>20</v>
      </c>
      <c r="I8" s="112">
        <v>120</v>
      </c>
      <c r="J8" s="112">
        <v>10</v>
      </c>
      <c r="K8" s="111">
        <v>50</v>
      </c>
      <c r="L8" s="1">
        <v>0</v>
      </c>
      <c r="N8" s="1">
        <v>12757</v>
      </c>
      <c r="P8" s="1">
        <v>415</v>
      </c>
      <c r="Q8" s="1">
        <v>735</v>
      </c>
      <c r="R8" s="1">
        <v>225</v>
      </c>
      <c r="T8">
        <f t="shared" si="1"/>
        <v>602.16867469879514</v>
      </c>
    </row>
    <row r="9" spans="1:21" ht="15.75" customHeight="1">
      <c r="A9" s="114" t="s">
        <v>21</v>
      </c>
      <c r="B9" s="110" t="s">
        <v>832</v>
      </c>
      <c r="C9" s="111">
        <v>4</v>
      </c>
      <c r="D9" s="127">
        <f t="shared" si="0"/>
        <v>4.12</v>
      </c>
      <c r="E9" s="114" t="s">
        <v>692</v>
      </c>
      <c r="F9" s="112" t="s">
        <v>1416</v>
      </c>
      <c r="G9" s="111">
        <v>1</v>
      </c>
      <c r="H9" s="112">
        <v>20</v>
      </c>
      <c r="I9" s="112">
        <v>120</v>
      </c>
      <c r="J9" s="112">
        <v>10</v>
      </c>
      <c r="K9" s="111">
        <v>50</v>
      </c>
      <c r="L9" s="1">
        <v>0</v>
      </c>
      <c r="N9" s="1">
        <v>13163</v>
      </c>
      <c r="P9" s="1">
        <v>421</v>
      </c>
      <c r="Q9" s="1">
        <v>718</v>
      </c>
      <c r="R9" s="1">
        <v>242</v>
      </c>
      <c r="T9">
        <f t="shared" si="1"/>
        <v>579.85748218527317</v>
      </c>
    </row>
    <row r="10" spans="1:21" ht="15.75" customHeight="1">
      <c r="A10" s="114" t="s">
        <v>22</v>
      </c>
      <c r="B10" s="110" t="s">
        <v>832</v>
      </c>
      <c r="C10" s="111">
        <v>4</v>
      </c>
      <c r="D10" s="127">
        <f t="shared" si="0"/>
        <v>4.12</v>
      </c>
      <c r="E10" s="114" t="s">
        <v>692</v>
      </c>
      <c r="F10" s="112" t="s">
        <v>1416</v>
      </c>
      <c r="G10" s="111">
        <v>1</v>
      </c>
      <c r="H10" s="112">
        <v>20</v>
      </c>
      <c r="I10" s="112">
        <v>120</v>
      </c>
      <c r="J10" s="112">
        <v>10</v>
      </c>
      <c r="K10" s="111">
        <v>50</v>
      </c>
      <c r="L10" s="1">
        <v>0</v>
      </c>
      <c r="N10" s="1">
        <v>13105</v>
      </c>
      <c r="P10" s="1">
        <v>412</v>
      </c>
      <c r="Q10" s="1">
        <v>749</v>
      </c>
      <c r="R10" s="1">
        <v>241</v>
      </c>
      <c r="T10">
        <f t="shared" si="1"/>
        <v>618.10679611650482</v>
      </c>
    </row>
    <row r="11" spans="1:21" ht="15.75" customHeight="1">
      <c r="A11" s="114" t="s">
        <v>23</v>
      </c>
      <c r="B11" s="110" t="s">
        <v>832</v>
      </c>
      <c r="C11" s="111">
        <v>4</v>
      </c>
      <c r="D11" s="127">
        <f t="shared" si="0"/>
        <v>4.12</v>
      </c>
      <c r="E11" s="114" t="s">
        <v>692</v>
      </c>
      <c r="F11" s="112" t="s">
        <v>1416</v>
      </c>
      <c r="G11" s="111">
        <v>1</v>
      </c>
      <c r="H11" s="112">
        <v>20</v>
      </c>
      <c r="I11" s="112">
        <v>120</v>
      </c>
      <c r="J11" s="112">
        <v>10</v>
      </c>
      <c r="K11" s="111">
        <v>50</v>
      </c>
      <c r="L11" s="1">
        <v>5</v>
      </c>
      <c r="N11" s="1">
        <v>12802</v>
      </c>
      <c r="P11" s="1">
        <v>430</v>
      </c>
      <c r="Q11" s="1">
        <v>770</v>
      </c>
      <c r="R11" s="1">
        <v>239</v>
      </c>
      <c r="T11">
        <f t="shared" si="1"/>
        <v>608.8372093023255</v>
      </c>
    </row>
    <row r="12" spans="1:21" ht="15.75" customHeight="1">
      <c r="A12" s="114" t="s">
        <v>24</v>
      </c>
      <c r="B12" s="110" t="s">
        <v>832</v>
      </c>
      <c r="C12" s="111">
        <v>4</v>
      </c>
      <c r="D12" s="127">
        <f t="shared" si="0"/>
        <v>4.12</v>
      </c>
      <c r="E12" s="114" t="s">
        <v>692</v>
      </c>
      <c r="F12" s="112" t="s">
        <v>1416</v>
      </c>
      <c r="G12" s="111">
        <v>1</v>
      </c>
      <c r="H12" s="112">
        <v>20</v>
      </c>
      <c r="I12" s="112">
        <v>120</v>
      </c>
      <c r="J12" s="112">
        <v>10</v>
      </c>
      <c r="K12" s="111">
        <v>50</v>
      </c>
      <c r="L12" s="1">
        <v>5</v>
      </c>
      <c r="N12" s="1">
        <v>12411</v>
      </c>
      <c r="P12" s="1">
        <v>452</v>
      </c>
      <c r="Q12" s="1">
        <v>800</v>
      </c>
      <c r="R12" s="1">
        <v>204</v>
      </c>
      <c r="T12">
        <f t="shared" si="1"/>
        <v>601.76991150442473</v>
      </c>
    </row>
    <row r="13" spans="1:21" ht="15.75" customHeight="1">
      <c r="A13" s="114" t="s">
        <v>25</v>
      </c>
      <c r="B13" s="110" t="s">
        <v>832</v>
      </c>
      <c r="C13" s="111">
        <v>4</v>
      </c>
      <c r="D13" s="127">
        <f t="shared" si="0"/>
        <v>4.12</v>
      </c>
      <c r="E13" s="114" t="s">
        <v>692</v>
      </c>
      <c r="F13" s="112" t="s">
        <v>1416</v>
      </c>
      <c r="G13" s="111">
        <v>1</v>
      </c>
      <c r="H13" s="112">
        <v>20</v>
      </c>
      <c r="I13" s="112">
        <v>120</v>
      </c>
      <c r="J13" s="112">
        <v>10</v>
      </c>
      <c r="K13" s="111">
        <v>50</v>
      </c>
      <c r="L13" s="1">
        <v>5</v>
      </c>
      <c r="N13" s="1">
        <v>12622</v>
      </c>
      <c r="P13" s="1">
        <v>402</v>
      </c>
      <c r="Q13" s="1">
        <v>824</v>
      </c>
      <c r="R13" s="1">
        <v>174</v>
      </c>
      <c r="T13">
        <f t="shared" si="1"/>
        <v>696.91542288557218</v>
      </c>
    </row>
    <row r="14" spans="1:21" ht="15.75" customHeight="1">
      <c r="A14" s="114" t="s">
        <v>26</v>
      </c>
      <c r="B14" s="110" t="s">
        <v>832</v>
      </c>
      <c r="C14" s="111">
        <v>4</v>
      </c>
      <c r="D14" s="127">
        <f t="shared" si="0"/>
        <v>4.12</v>
      </c>
      <c r="E14" s="114" t="s">
        <v>692</v>
      </c>
      <c r="F14" s="112" t="s">
        <v>1416</v>
      </c>
      <c r="G14" s="111">
        <v>1</v>
      </c>
      <c r="H14" s="112">
        <v>20</v>
      </c>
      <c r="I14" s="112">
        <v>120</v>
      </c>
      <c r="J14" s="112">
        <v>10</v>
      </c>
      <c r="K14" s="111">
        <v>50</v>
      </c>
      <c r="L14" s="1">
        <v>10</v>
      </c>
      <c r="N14" s="1">
        <v>12735</v>
      </c>
      <c r="P14" s="1">
        <v>376</v>
      </c>
      <c r="Q14" s="1">
        <v>939</v>
      </c>
      <c r="R14" s="1">
        <v>136</v>
      </c>
      <c r="T14">
        <f t="shared" si="1"/>
        <v>849.09574468085111</v>
      </c>
    </row>
    <row r="15" spans="1:21" ht="15.75" customHeight="1">
      <c r="A15" s="114" t="s">
        <v>27</v>
      </c>
      <c r="B15" s="110" t="s">
        <v>832</v>
      </c>
      <c r="C15" s="111">
        <v>4</v>
      </c>
      <c r="D15" s="127">
        <f t="shared" si="0"/>
        <v>4.12</v>
      </c>
      <c r="E15" s="114" t="s">
        <v>692</v>
      </c>
      <c r="F15" s="112" t="s">
        <v>1416</v>
      </c>
      <c r="G15" s="111">
        <v>1</v>
      </c>
      <c r="H15" s="112">
        <v>20</v>
      </c>
      <c r="I15" s="112">
        <v>120</v>
      </c>
      <c r="J15" s="112">
        <v>10</v>
      </c>
      <c r="K15" s="111">
        <v>50</v>
      </c>
      <c r="L15" s="1">
        <v>10</v>
      </c>
      <c r="N15" s="1">
        <v>12520</v>
      </c>
      <c r="P15" s="1">
        <v>376</v>
      </c>
      <c r="Q15" s="1">
        <v>927</v>
      </c>
      <c r="R15" s="1">
        <v>160</v>
      </c>
      <c r="T15">
        <f t="shared" si="1"/>
        <v>838.24468085106389</v>
      </c>
    </row>
    <row r="16" spans="1:21" ht="15.75" customHeight="1">
      <c r="A16" s="114" t="s">
        <v>28</v>
      </c>
      <c r="B16" s="110" t="s">
        <v>832</v>
      </c>
      <c r="C16" s="111">
        <v>4</v>
      </c>
      <c r="D16" s="127">
        <f t="shared" si="0"/>
        <v>4.12</v>
      </c>
      <c r="E16" s="114" t="s">
        <v>692</v>
      </c>
      <c r="F16" s="112" t="s">
        <v>1416</v>
      </c>
      <c r="G16" s="111">
        <v>1</v>
      </c>
      <c r="H16" s="112">
        <v>20</v>
      </c>
      <c r="I16" s="112">
        <v>120</v>
      </c>
      <c r="J16" s="112">
        <v>10</v>
      </c>
      <c r="K16" s="111">
        <v>50</v>
      </c>
      <c r="L16" s="1">
        <v>10</v>
      </c>
      <c r="N16" s="1">
        <v>12459</v>
      </c>
      <c r="P16" s="1">
        <v>386</v>
      </c>
      <c r="Q16" s="1">
        <v>889</v>
      </c>
      <c r="R16" s="1">
        <v>183</v>
      </c>
      <c r="T16">
        <f t="shared" si="1"/>
        <v>783.05699481865292</v>
      </c>
    </row>
    <row r="17" spans="1:11" ht="15.75" customHeight="1">
      <c r="A17" s="114"/>
    </row>
    <row r="18" spans="1:11" ht="15.75" customHeight="1">
      <c r="A18" s="114"/>
      <c r="B18" s="114" t="s">
        <v>300</v>
      </c>
      <c r="C18" s="127">
        <f>SUM(C5:C17)</f>
        <v>48</v>
      </c>
      <c r="H18" s="1" t="s">
        <v>300</v>
      </c>
      <c r="I18">
        <f>SUM(I5:I17)</f>
        <v>1440</v>
      </c>
    </row>
    <row r="19" spans="1:11" ht="15.75" customHeight="1">
      <c r="A19" s="114"/>
    </row>
    <row r="20" spans="1:11" ht="15.75" customHeight="1">
      <c r="A20" s="125" t="s">
        <v>1040</v>
      </c>
      <c r="I20" s="125" t="s">
        <v>968</v>
      </c>
      <c r="J20" s="114"/>
      <c r="K20" s="114"/>
    </row>
    <row r="21" spans="1:11" ht="15.75" customHeight="1">
      <c r="A21" s="1" t="s">
        <v>1419</v>
      </c>
      <c r="I21" s="114" t="s">
        <v>970</v>
      </c>
      <c r="J21" s="114" t="s">
        <v>47</v>
      </c>
      <c r="K21" s="114" t="s">
        <v>300</v>
      </c>
    </row>
    <row r="22" spans="1:11" ht="15.75" customHeight="1">
      <c r="A22" s="1" t="s">
        <v>1420</v>
      </c>
      <c r="I22" s="125" t="s">
        <v>301</v>
      </c>
      <c r="J22" s="126">
        <v>0.5</v>
      </c>
    </row>
    <row r="23" spans="1:11" ht="15.75" customHeight="1">
      <c r="A23" s="1" t="s">
        <v>1421</v>
      </c>
      <c r="I23" s="112">
        <v>770</v>
      </c>
      <c r="J23" s="127">
        <f>I23/J22-I23</f>
        <v>770</v>
      </c>
      <c r="K23" s="127">
        <f>SUM(I23:J23)</f>
        <v>1540</v>
      </c>
    </row>
    <row r="24" spans="1:11" ht="15.75" customHeight="1">
      <c r="A24" s="1" t="s">
        <v>1436</v>
      </c>
      <c r="I24" s="111"/>
      <c r="J24" s="127"/>
      <c r="K24" s="127"/>
    </row>
    <row r="25" spans="1:11" ht="15.75" customHeight="1">
      <c r="A25" s="1" t="s">
        <v>1437</v>
      </c>
    </row>
    <row r="26" spans="1:11" ht="15.75" customHeight="1">
      <c r="A26" s="1" t="s">
        <v>1438</v>
      </c>
    </row>
    <row r="27" spans="1:11" ht="15.75" customHeight="1">
      <c r="A27" s="1"/>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heetViews>
  <sheetFormatPr defaultColWidth="14.42578125" defaultRowHeight="15.75" customHeight="1"/>
  <sheetData>
    <row r="1" spans="1:9" ht="15.75" customHeight="1">
      <c r="A1" s="1" t="s">
        <v>1439</v>
      </c>
    </row>
    <row r="2" spans="1:9" ht="15.75" customHeight="1">
      <c r="A2" s="163">
        <v>42145</v>
      </c>
    </row>
    <row r="3" spans="1:9" ht="15.75" customHeight="1">
      <c r="A3" s="1"/>
      <c r="B3" s="1" t="s">
        <v>0</v>
      </c>
      <c r="C3" s="1" t="s">
        <v>817</v>
      </c>
      <c r="D3" s="1" t="s">
        <v>816</v>
      </c>
      <c r="F3" s="1" t="s">
        <v>1440</v>
      </c>
      <c r="G3" s="1" t="s">
        <v>1441</v>
      </c>
    </row>
    <row r="4" spans="1:9" ht="15.75" customHeight="1">
      <c r="A4" s="1"/>
      <c r="B4" s="1" t="s">
        <v>1303</v>
      </c>
      <c r="C4" s="1">
        <v>1</v>
      </c>
      <c r="D4" s="1">
        <v>1</v>
      </c>
      <c r="F4" s="1"/>
      <c r="G4" s="1"/>
    </row>
    <row r="5" spans="1:9" ht="15.75" customHeight="1">
      <c r="A5" s="1"/>
      <c r="B5" s="1" t="s">
        <v>821</v>
      </c>
      <c r="C5">
        <f t="shared" ref="C5:D5" si="0">C4+1</f>
        <v>2</v>
      </c>
      <c r="D5" s="1">
        <f t="shared" si="0"/>
        <v>2</v>
      </c>
      <c r="F5" s="1">
        <v>14.5</v>
      </c>
      <c r="G5" s="1">
        <v>162</v>
      </c>
      <c r="I5" s="1" t="s">
        <v>1442</v>
      </c>
    </row>
    <row r="6" spans="1:9" ht="15.75" customHeight="1">
      <c r="A6" s="1"/>
      <c r="B6" s="1" t="s">
        <v>822</v>
      </c>
      <c r="C6">
        <f t="shared" ref="C6:D6" si="1">C5+1</f>
        <v>3</v>
      </c>
      <c r="D6" s="1">
        <f t="shared" si="1"/>
        <v>3</v>
      </c>
      <c r="F6" s="1">
        <v>96</v>
      </c>
      <c r="G6" s="1">
        <v>82</v>
      </c>
      <c r="I6" s="1"/>
    </row>
    <row r="7" spans="1:9" ht="15.75" customHeight="1">
      <c r="A7" s="1"/>
      <c r="B7" s="1" t="s">
        <v>823</v>
      </c>
      <c r="C7">
        <f t="shared" ref="C7:D7" si="2">C6+1</f>
        <v>4</v>
      </c>
      <c r="D7" s="1">
        <f t="shared" si="2"/>
        <v>4</v>
      </c>
      <c r="F7" s="1">
        <v>243</v>
      </c>
      <c r="G7" s="1">
        <v>9.6999999999999993</v>
      </c>
    </row>
    <row r="8" spans="1:9" ht="15.75" customHeight="1">
      <c r="B8" s="110" t="s">
        <v>692</v>
      </c>
      <c r="C8" s="1">
        <v>5</v>
      </c>
      <c r="D8" s="1">
        <f t="shared" ref="D8:D10" si="3">D7+1</f>
        <v>5</v>
      </c>
      <c r="F8" s="1"/>
      <c r="G8" s="1"/>
    </row>
    <row r="9" spans="1:9" ht="15.75" customHeight="1">
      <c r="A9" s="183"/>
      <c r="B9" s="1" t="s">
        <v>1303</v>
      </c>
      <c r="C9" s="1">
        <v>1</v>
      </c>
      <c r="D9" s="1">
        <f t="shared" si="3"/>
        <v>6</v>
      </c>
      <c r="F9" s="1">
        <v>2.4</v>
      </c>
      <c r="G9" s="1"/>
    </row>
    <row r="10" spans="1:9" ht="15.75" customHeight="1">
      <c r="A10" s="183">
        <v>42138</v>
      </c>
      <c r="B10" s="164" t="s">
        <v>17</v>
      </c>
      <c r="C10">
        <f>C7+1</f>
        <v>5</v>
      </c>
      <c r="D10" s="1">
        <f t="shared" si="3"/>
        <v>7</v>
      </c>
      <c r="F10" s="1">
        <v>21.1</v>
      </c>
      <c r="G10" s="1">
        <v>258</v>
      </c>
    </row>
    <row r="11" spans="1:9" ht="15.75" customHeight="1">
      <c r="A11" s="164"/>
      <c r="B11" s="164" t="s">
        <v>18</v>
      </c>
      <c r="C11">
        <f t="shared" ref="C11:D11" si="4">C10+1</f>
        <v>6</v>
      </c>
      <c r="D11" s="1">
        <f t="shared" si="4"/>
        <v>8</v>
      </c>
      <c r="F11" s="1">
        <v>25.6</v>
      </c>
      <c r="G11" s="1">
        <v>258.89999999999998</v>
      </c>
    </row>
    <row r="12" spans="1:9" ht="15.75" customHeight="1">
      <c r="A12" s="164"/>
      <c r="B12" s="164" t="s">
        <v>19</v>
      </c>
      <c r="C12">
        <f t="shared" ref="C12:D12" si="5">C11+1</f>
        <v>7</v>
      </c>
      <c r="D12" s="1">
        <f t="shared" si="5"/>
        <v>9</v>
      </c>
      <c r="F12" s="1">
        <v>23.4</v>
      </c>
      <c r="G12" s="1">
        <v>238.4</v>
      </c>
    </row>
    <row r="13" spans="1:9" ht="15.75" customHeight="1">
      <c r="A13" s="164"/>
      <c r="B13" s="164" t="s">
        <v>20</v>
      </c>
      <c r="C13">
        <f t="shared" ref="C13:D13" si="6">C12+1</f>
        <v>8</v>
      </c>
      <c r="D13" s="1">
        <f t="shared" si="6"/>
        <v>10</v>
      </c>
      <c r="F13" s="1">
        <v>6.6</v>
      </c>
      <c r="G13" s="1">
        <v>23.5</v>
      </c>
    </row>
    <row r="14" spans="1:9" ht="15.75" customHeight="1">
      <c r="A14" s="164"/>
      <c r="B14" s="164" t="s">
        <v>21</v>
      </c>
      <c r="C14">
        <f t="shared" ref="C14:D14" si="7">C13+1</f>
        <v>9</v>
      </c>
      <c r="D14" s="1">
        <f t="shared" si="7"/>
        <v>11</v>
      </c>
      <c r="F14" s="1">
        <v>7.4</v>
      </c>
      <c r="G14" s="1">
        <v>26.4</v>
      </c>
    </row>
    <row r="15" spans="1:9" ht="15.75" customHeight="1">
      <c r="A15" s="164"/>
      <c r="B15" s="164" t="s">
        <v>22</v>
      </c>
      <c r="C15">
        <f t="shared" ref="C15:D15" si="8">C14+1</f>
        <v>10</v>
      </c>
      <c r="D15" s="1">
        <f t="shared" si="8"/>
        <v>12</v>
      </c>
      <c r="F15" s="1">
        <v>6.9</v>
      </c>
      <c r="G15" s="1">
        <v>22.6</v>
      </c>
    </row>
    <row r="16" spans="1:9" ht="15.75" customHeight="1">
      <c r="A16" s="164"/>
      <c r="B16" s="164" t="s">
        <v>23</v>
      </c>
      <c r="C16">
        <f t="shared" ref="C16:D16" si="9">C15+1</f>
        <v>11</v>
      </c>
      <c r="D16" s="1">
        <f t="shared" si="9"/>
        <v>13</v>
      </c>
      <c r="F16" s="1">
        <v>20.9</v>
      </c>
      <c r="G16" s="1">
        <v>155.19999999999999</v>
      </c>
    </row>
    <row r="17" spans="1:7" ht="15.75" customHeight="1">
      <c r="A17" s="164"/>
      <c r="B17" s="164" t="s">
        <v>24</v>
      </c>
      <c r="C17">
        <f t="shared" ref="C17:D17" si="10">C16+1</f>
        <v>12</v>
      </c>
      <c r="D17" s="1">
        <f t="shared" si="10"/>
        <v>14</v>
      </c>
      <c r="F17" s="1">
        <v>23.5</v>
      </c>
      <c r="G17" s="1">
        <v>168</v>
      </c>
    </row>
    <row r="18" spans="1:7" ht="15.75" customHeight="1">
      <c r="A18" s="164"/>
      <c r="B18" s="164" t="s">
        <v>25</v>
      </c>
      <c r="C18">
        <f t="shared" ref="C18:D18" si="11">C17+1</f>
        <v>13</v>
      </c>
      <c r="D18" s="1">
        <f t="shared" si="11"/>
        <v>15</v>
      </c>
      <c r="F18" s="1">
        <v>23.3</v>
      </c>
      <c r="G18" s="1">
        <v>176.1</v>
      </c>
    </row>
    <row r="19" spans="1:7" ht="15.75" customHeight="1">
      <c r="A19" s="164"/>
      <c r="B19" s="164" t="s">
        <v>26</v>
      </c>
      <c r="C19">
        <f t="shared" ref="C19:D19" si="12">C18+1</f>
        <v>14</v>
      </c>
      <c r="D19" s="1">
        <f t="shared" si="12"/>
        <v>16</v>
      </c>
      <c r="F19" s="1">
        <v>19.899999999999999</v>
      </c>
      <c r="G19" s="1">
        <v>129.69999999999999</v>
      </c>
    </row>
    <row r="20" spans="1:7" ht="15.75" customHeight="1">
      <c r="A20" s="164"/>
      <c r="B20" s="164" t="s">
        <v>27</v>
      </c>
      <c r="C20">
        <f t="shared" ref="C20:D20" si="13">C19+1</f>
        <v>15</v>
      </c>
      <c r="D20" s="1">
        <f t="shared" si="13"/>
        <v>17</v>
      </c>
      <c r="F20" s="1">
        <v>20.9</v>
      </c>
      <c r="G20" s="1">
        <v>129.80000000000001</v>
      </c>
    </row>
    <row r="21" spans="1:7" ht="15.75" customHeight="1">
      <c r="A21" s="164"/>
      <c r="B21" s="164" t="s">
        <v>28</v>
      </c>
      <c r="C21">
        <f t="shared" ref="C21:D21" si="14">C20+1</f>
        <v>16</v>
      </c>
      <c r="D21" s="1">
        <f t="shared" si="14"/>
        <v>18</v>
      </c>
      <c r="F21" s="1">
        <v>18.8</v>
      </c>
      <c r="G21" s="1">
        <v>115.7</v>
      </c>
    </row>
    <row r="22" spans="1:7" ht="15.75" customHeight="1">
      <c r="B22" s="1" t="s">
        <v>1303</v>
      </c>
      <c r="C22" s="1">
        <v>1</v>
      </c>
      <c r="D22" s="1">
        <f>D21+1</f>
        <v>19</v>
      </c>
      <c r="F22" s="1">
        <v>3.7</v>
      </c>
      <c r="G22" s="1"/>
    </row>
    <row r="23" spans="1:7" ht="15.75" customHeight="1">
      <c r="B23" s="1" t="s">
        <v>821</v>
      </c>
      <c r="C23">
        <f t="shared" ref="C23:D23" si="15">C22+1</f>
        <v>2</v>
      </c>
      <c r="D23" s="1">
        <f t="shared" si="15"/>
        <v>20</v>
      </c>
      <c r="F23" s="1">
        <v>14.8</v>
      </c>
      <c r="G23" s="1">
        <v>162.9</v>
      </c>
    </row>
    <row r="24" spans="1:7" ht="15.75" customHeight="1">
      <c r="B24" s="1" t="s">
        <v>822</v>
      </c>
      <c r="C24">
        <f t="shared" ref="C24:D24" si="16">C23+1</f>
        <v>3</v>
      </c>
      <c r="D24" s="1">
        <f t="shared" si="16"/>
        <v>21</v>
      </c>
      <c r="F24" s="1">
        <v>92.9</v>
      </c>
      <c r="G24" s="1">
        <v>81.3</v>
      </c>
    </row>
    <row r="25" spans="1:7" ht="15.75" customHeight="1">
      <c r="B25" s="1" t="s">
        <v>823</v>
      </c>
      <c r="C25">
        <f t="shared" ref="C25:D25" si="17">C24+1</f>
        <v>4</v>
      </c>
      <c r="D25" s="1">
        <f t="shared" si="17"/>
        <v>22</v>
      </c>
      <c r="F25" s="1">
        <v>237.1</v>
      </c>
      <c r="G25" s="1">
        <v>10</v>
      </c>
    </row>
    <row r="26" spans="1:7" ht="15.75" customHeight="1">
      <c r="B26" s="1" t="s">
        <v>692</v>
      </c>
      <c r="C26" s="1">
        <v>5</v>
      </c>
      <c r="D26" s="1">
        <f t="shared" ref="D26:D27" si="18">D25+1</f>
        <v>23</v>
      </c>
      <c r="F26" s="1"/>
      <c r="G26" s="1"/>
    </row>
    <row r="27" spans="1:7" ht="15.75" customHeight="1">
      <c r="B27" s="1" t="s">
        <v>1303</v>
      </c>
      <c r="C27" s="1">
        <v>1</v>
      </c>
      <c r="D27" s="1">
        <f t="shared" si="18"/>
        <v>24</v>
      </c>
      <c r="F27" s="1"/>
      <c r="G27" s="1"/>
    </row>
    <row r="28" spans="1:7" ht="15.75" customHeight="1">
      <c r="D28" s="1"/>
      <c r="F28" s="1" t="s">
        <v>1443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workbookViewId="0"/>
  </sheetViews>
  <sheetFormatPr defaultColWidth="14.42578125" defaultRowHeight="15.75" customHeight="1"/>
  <cols>
    <col min="3" max="3" width="14" customWidth="1"/>
    <col min="4" max="4" width="14.7109375" customWidth="1"/>
    <col min="7" max="7" width="22" customWidth="1"/>
    <col min="10" max="10" width="17.140625" customWidth="1"/>
  </cols>
  <sheetData>
    <row r="1" spans="1:2" ht="15.75" customHeight="1">
      <c r="A1" s="5" t="s">
        <v>118</v>
      </c>
    </row>
    <row r="3" spans="1:2" ht="15.75" customHeight="1">
      <c r="A3" s="1">
        <v>1</v>
      </c>
      <c r="B3" s="1" t="s">
        <v>123</v>
      </c>
    </row>
    <row r="4" spans="1:2" ht="15.75" customHeight="1">
      <c r="A4" s="1">
        <f t="shared" ref="A4:A16" si="0">A3+1</f>
        <v>2</v>
      </c>
      <c r="B4" s="1" t="s">
        <v>124</v>
      </c>
    </row>
    <row r="5" spans="1:2" ht="15.75" customHeight="1">
      <c r="A5" s="1">
        <f t="shared" si="0"/>
        <v>3</v>
      </c>
      <c r="B5" s="1" t="s">
        <v>126</v>
      </c>
    </row>
    <row r="6" spans="1:2" ht="15.75" customHeight="1">
      <c r="A6" s="1">
        <f t="shared" si="0"/>
        <v>4</v>
      </c>
      <c r="B6" s="1" t="s">
        <v>128</v>
      </c>
    </row>
    <row r="7" spans="1:2" ht="15.75" customHeight="1">
      <c r="A7" s="1">
        <f t="shared" si="0"/>
        <v>5</v>
      </c>
      <c r="B7" s="1" t="s">
        <v>131</v>
      </c>
    </row>
    <row r="8" spans="1:2" ht="15.75" customHeight="1">
      <c r="A8" s="1">
        <f t="shared" si="0"/>
        <v>6</v>
      </c>
      <c r="B8" s="1" t="s">
        <v>136</v>
      </c>
    </row>
    <row r="9" spans="1:2" ht="15.75" customHeight="1">
      <c r="A9" s="1">
        <f t="shared" si="0"/>
        <v>7</v>
      </c>
      <c r="B9" s="1" t="s">
        <v>138</v>
      </c>
    </row>
    <row r="10" spans="1:2" ht="15.75" customHeight="1">
      <c r="A10" s="1">
        <f t="shared" si="0"/>
        <v>8</v>
      </c>
      <c r="B10" s="1" t="s">
        <v>142</v>
      </c>
    </row>
    <row r="11" spans="1:2" ht="15.75" customHeight="1">
      <c r="A11" s="1">
        <f t="shared" si="0"/>
        <v>9</v>
      </c>
      <c r="B11" s="1" t="s">
        <v>143</v>
      </c>
    </row>
    <row r="12" spans="1:2" ht="15.75" customHeight="1">
      <c r="A12" s="1">
        <f t="shared" si="0"/>
        <v>10</v>
      </c>
      <c r="B12" s="1" t="s">
        <v>145</v>
      </c>
    </row>
    <row r="13" spans="1:2" ht="15.75" customHeight="1">
      <c r="A13" s="1">
        <f t="shared" si="0"/>
        <v>11</v>
      </c>
      <c r="B13" s="1" t="s">
        <v>147</v>
      </c>
    </row>
    <row r="14" spans="1:2" ht="15.75" customHeight="1">
      <c r="A14" s="1">
        <f t="shared" si="0"/>
        <v>12</v>
      </c>
      <c r="B14" s="1" t="s">
        <v>148</v>
      </c>
    </row>
    <row r="15" spans="1:2" ht="15.75" customHeight="1">
      <c r="A15" s="1">
        <f t="shared" si="0"/>
        <v>13</v>
      </c>
      <c r="B15" s="1" t="s">
        <v>151</v>
      </c>
    </row>
    <row r="16" spans="1:2" ht="15.75" customHeight="1">
      <c r="A16" s="1">
        <f t="shared" si="0"/>
        <v>14</v>
      </c>
      <c r="B16" s="1" t="s">
        <v>152</v>
      </c>
    </row>
    <row r="17" spans="1:10" ht="15.75" customHeight="1">
      <c r="B17" s="1"/>
      <c r="C17" s="1"/>
      <c r="D17" s="1"/>
    </row>
    <row r="18" spans="1:10" ht="15.75" customHeight="1">
      <c r="B18" s="1" t="s">
        <v>153</v>
      </c>
      <c r="C18" s="1" t="s">
        <v>154</v>
      </c>
      <c r="D18" s="1" t="s">
        <v>155</v>
      </c>
      <c r="E18" s="1" t="s">
        <v>156</v>
      </c>
      <c r="F18" s="1" t="s">
        <v>155</v>
      </c>
      <c r="G18" s="1" t="s">
        <v>251</v>
      </c>
      <c r="H18" s="1" t="s">
        <v>252</v>
      </c>
      <c r="I18" s="1" t="s">
        <v>253</v>
      </c>
      <c r="J18" s="1" t="s">
        <v>254</v>
      </c>
    </row>
    <row r="19" spans="1:10" ht="15.75" customHeight="1">
      <c r="A19" s="1" t="s">
        <v>17</v>
      </c>
      <c r="B19" s="1">
        <v>5</v>
      </c>
      <c r="C19" s="1">
        <v>0.4783</v>
      </c>
      <c r="E19" s="1" t="s">
        <v>17</v>
      </c>
      <c r="F19" s="1">
        <v>0.58240000000000003</v>
      </c>
      <c r="G19">
        <f t="shared" ref="G19:G33" si="1">F19-C19</f>
        <v>0.10410000000000003</v>
      </c>
      <c r="I19">
        <f t="shared" ref="I19:I21" si="2">F19-(C19-$H$21*C19)</f>
        <v>0.15652168000000005</v>
      </c>
      <c r="J19">
        <f t="shared" ref="J19:J21" si="3">I19-$H$21</f>
        <v>4.6921680000000035E-2</v>
      </c>
    </row>
    <row r="20" spans="1:10" ht="15.75" customHeight="1">
      <c r="A20" s="1" t="s">
        <v>18</v>
      </c>
      <c r="B20" s="1">
        <v>5</v>
      </c>
      <c r="C20" s="1">
        <v>0.48320000000000002</v>
      </c>
      <c r="E20" s="1" t="s">
        <v>18</v>
      </c>
      <c r="F20" s="1">
        <v>0.58679999999999999</v>
      </c>
      <c r="G20">
        <f t="shared" si="1"/>
        <v>0.10359999999999997</v>
      </c>
      <c r="I20">
        <f t="shared" si="2"/>
        <v>0.15655871999999998</v>
      </c>
      <c r="J20">
        <f t="shared" si="3"/>
        <v>4.6958719999999968E-2</v>
      </c>
    </row>
    <row r="21" spans="1:10" ht="15.75" customHeight="1">
      <c r="A21" s="1" t="s">
        <v>19</v>
      </c>
      <c r="B21" s="1">
        <v>5</v>
      </c>
      <c r="C21" s="1">
        <v>0.47220000000000001</v>
      </c>
      <c r="E21" s="1" t="s">
        <v>19</v>
      </c>
      <c r="F21" s="1">
        <v>0.59330000000000005</v>
      </c>
      <c r="G21">
        <f t="shared" si="1"/>
        <v>0.12110000000000004</v>
      </c>
      <c r="H21">
        <f>AVERAGE(G19:G21)</f>
        <v>0.10960000000000002</v>
      </c>
      <c r="I21">
        <f t="shared" si="2"/>
        <v>0.17285312000000003</v>
      </c>
      <c r="J21">
        <f t="shared" si="3"/>
        <v>6.325312000000001E-2</v>
      </c>
    </row>
    <row r="22" spans="1:10" ht="15.75" customHeight="1">
      <c r="A22" s="1" t="s">
        <v>20</v>
      </c>
      <c r="B22" s="1">
        <v>15</v>
      </c>
      <c r="C22" s="1">
        <v>0.47060000000000002</v>
      </c>
      <c r="E22" s="1" t="s">
        <v>20</v>
      </c>
      <c r="F22" s="1">
        <v>0.50680000000000003</v>
      </c>
      <c r="G22">
        <f t="shared" si="1"/>
        <v>3.620000000000001E-2</v>
      </c>
      <c r="I22">
        <f t="shared" ref="I22:I24" si="4">F22-(C22-$H$24*C22)</f>
        <v>5.1761173333333355E-2</v>
      </c>
      <c r="J22">
        <f t="shared" ref="J22:J24" si="5">I22-$H$24</f>
        <v>1.8694506666666687E-2</v>
      </c>
    </row>
    <row r="23" spans="1:10" ht="15.75" customHeight="1">
      <c r="A23" s="1" t="s">
        <v>21</v>
      </c>
      <c r="B23" s="1">
        <v>15</v>
      </c>
      <c r="C23" s="1">
        <v>0.47289999999999999</v>
      </c>
      <c r="E23" s="1" t="s">
        <v>21</v>
      </c>
      <c r="F23" s="1">
        <v>0.503</v>
      </c>
      <c r="G23">
        <f t="shared" si="1"/>
        <v>3.0100000000000016E-2</v>
      </c>
      <c r="I23">
        <f t="shared" si="4"/>
        <v>4.5737226666666686E-2</v>
      </c>
      <c r="J23">
        <f t="shared" si="5"/>
        <v>1.2670560000000018E-2</v>
      </c>
    </row>
    <row r="24" spans="1:10" ht="15.75" customHeight="1">
      <c r="A24" s="1" t="s">
        <v>22</v>
      </c>
      <c r="B24" s="1">
        <v>15</v>
      </c>
      <c r="C24" s="1">
        <v>0.4773</v>
      </c>
      <c r="E24" s="1" t="s">
        <v>22</v>
      </c>
      <c r="F24" s="1">
        <v>0.51019999999999999</v>
      </c>
      <c r="G24">
        <f t="shared" si="1"/>
        <v>3.2899999999999985E-2</v>
      </c>
      <c r="H24">
        <f>AVERAGE(G22:G24)</f>
        <v>3.3066666666666668E-2</v>
      </c>
      <c r="I24">
        <f t="shared" si="4"/>
        <v>4.8682719999999957E-2</v>
      </c>
      <c r="J24">
        <f t="shared" si="5"/>
        <v>1.5616053333333289E-2</v>
      </c>
    </row>
    <row r="25" spans="1:10" ht="15.75" customHeight="1">
      <c r="A25" s="1" t="s">
        <v>23</v>
      </c>
      <c r="B25" s="1">
        <v>25</v>
      </c>
      <c r="C25" s="1">
        <v>0.48409999999999997</v>
      </c>
      <c r="E25" s="1" t="s">
        <v>23</v>
      </c>
      <c r="F25" s="1">
        <v>0.48249999999999998</v>
      </c>
      <c r="G25">
        <f t="shared" si="1"/>
        <v>-1.5999999999999903E-3</v>
      </c>
      <c r="I25">
        <f t="shared" ref="I25:I27" si="6">F25-(C25-$H$27*C25)</f>
        <v>7.3981666666667056E-4</v>
      </c>
      <c r="J25">
        <f t="shared" ref="J25:J27" si="7">I25-$H$27</f>
        <v>-4.0935166666666856E-3</v>
      </c>
    </row>
    <row r="26" spans="1:10" ht="15.75" customHeight="1">
      <c r="A26" s="1" t="s">
        <v>24</v>
      </c>
      <c r="B26" s="1">
        <v>25</v>
      </c>
      <c r="C26" s="1">
        <v>0.47789999999999999</v>
      </c>
      <c r="E26" s="1" t="s">
        <v>24</v>
      </c>
      <c r="F26" s="1">
        <v>0.49170000000000003</v>
      </c>
      <c r="G26">
        <f t="shared" si="1"/>
        <v>1.3800000000000034E-2</v>
      </c>
      <c r="I26">
        <f t="shared" si="6"/>
        <v>1.6109850000000037E-2</v>
      </c>
      <c r="J26">
        <f t="shared" si="7"/>
        <v>1.1276516666666681E-2</v>
      </c>
    </row>
    <row r="27" spans="1:10" ht="15.75" customHeight="1">
      <c r="A27" s="1" t="s">
        <v>25</v>
      </c>
      <c r="B27" s="1">
        <v>25</v>
      </c>
      <c r="C27" s="1">
        <v>0.47889999999999999</v>
      </c>
      <c r="E27" s="1" t="s">
        <v>27</v>
      </c>
      <c r="F27" s="1">
        <v>0.48120000000000002</v>
      </c>
      <c r="G27">
        <f t="shared" si="1"/>
        <v>2.3000000000000242E-3</v>
      </c>
      <c r="H27">
        <f>AVERAGE(G25:G27)</f>
        <v>4.8333333333333561E-3</v>
      </c>
      <c r="I27">
        <f t="shared" si="6"/>
        <v>4.6146833333333692E-3</v>
      </c>
      <c r="J27">
        <f t="shared" si="7"/>
        <v>-2.1864999999998691E-4</v>
      </c>
    </row>
    <row r="28" spans="1:10" ht="15.75" customHeight="1">
      <c r="A28" s="1" t="s">
        <v>26</v>
      </c>
      <c r="B28" s="1">
        <v>35</v>
      </c>
      <c r="C28" s="1">
        <v>0.48559999999999998</v>
      </c>
      <c r="E28" s="1" t="s">
        <v>28</v>
      </c>
      <c r="F28" s="1">
        <v>0.4824</v>
      </c>
      <c r="G28">
        <f t="shared" si="1"/>
        <v>-3.1999999999999806E-3</v>
      </c>
      <c r="I28">
        <f t="shared" ref="I28:I30" si="8">F28-(C28-$H$30*C28)</f>
        <v>-8.69120000000001E-4</v>
      </c>
      <c r="J28">
        <f t="shared" ref="J28:J30" si="9">I28-$H$30</f>
        <v>-5.6691200000000093E-3</v>
      </c>
    </row>
    <row r="29" spans="1:10" ht="15.75" customHeight="1">
      <c r="A29" s="1" t="s">
        <v>27</v>
      </c>
      <c r="B29" s="1">
        <v>35</v>
      </c>
      <c r="C29" s="1">
        <v>0.47889999999999999</v>
      </c>
      <c r="E29" s="1" t="s">
        <v>29</v>
      </c>
      <c r="F29" s="1">
        <v>0.49769999999999998</v>
      </c>
      <c r="G29">
        <f t="shared" si="1"/>
        <v>1.8799999999999983E-2</v>
      </c>
      <c r="I29">
        <f t="shared" si="8"/>
        <v>2.109871999999996E-2</v>
      </c>
      <c r="J29">
        <f t="shared" si="9"/>
        <v>1.6298719999999951E-2</v>
      </c>
    </row>
    <row r="30" spans="1:10" ht="15.75" customHeight="1">
      <c r="A30" s="1" t="s">
        <v>28</v>
      </c>
      <c r="B30" s="1">
        <v>35</v>
      </c>
      <c r="C30" s="1">
        <v>0.4879</v>
      </c>
      <c r="E30" s="1" t="s">
        <v>30</v>
      </c>
      <c r="F30" s="1">
        <v>0.48670000000000002</v>
      </c>
      <c r="G30">
        <f t="shared" si="1"/>
        <v>-1.1999999999999789E-3</v>
      </c>
      <c r="H30">
        <f>AVERAGE(G28:G30)</f>
        <v>4.8000000000000083E-3</v>
      </c>
      <c r="I30">
        <f t="shared" si="8"/>
        <v>1.1419200000000185E-3</v>
      </c>
      <c r="J30">
        <f t="shared" si="9"/>
        <v>-3.6580799999999898E-3</v>
      </c>
    </row>
    <row r="31" spans="1:10" ht="15.75" customHeight="1">
      <c r="A31" s="1" t="s">
        <v>29</v>
      </c>
      <c r="B31" s="1">
        <v>45</v>
      </c>
      <c r="C31" s="1">
        <v>0.4728</v>
      </c>
      <c r="E31" s="1" t="s">
        <v>33</v>
      </c>
      <c r="F31" s="1">
        <v>0.46810000000000002</v>
      </c>
      <c r="G31">
        <f t="shared" si="1"/>
        <v>-4.699999999999982E-3</v>
      </c>
      <c r="I31">
        <f t="shared" ref="I31:I33" si="10">F31-(C31-$H$33*C31)</f>
        <v>-5.51952E-3</v>
      </c>
      <c r="J31">
        <f t="shared" ref="J31:J33" si="11">I31-$H$33</f>
        <v>-3.7861866666666728E-3</v>
      </c>
    </row>
    <row r="32" spans="1:10" ht="15.75" customHeight="1">
      <c r="A32" s="1" t="s">
        <v>30</v>
      </c>
      <c r="B32" s="1">
        <v>45</v>
      </c>
      <c r="C32" s="1">
        <v>0.48459999999999998</v>
      </c>
      <c r="E32" s="1" t="s">
        <v>35</v>
      </c>
      <c r="F32" s="1">
        <v>0.48749999999999999</v>
      </c>
      <c r="G32">
        <f t="shared" si="1"/>
        <v>2.9000000000000137E-3</v>
      </c>
      <c r="I32">
        <f t="shared" si="10"/>
        <v>2.0600266666666589E-3</v>
      </c>
      <c r="J32">
        <f t="shared" si="11"/>
        <v>3.7933599999999861E-3</v>
      </c>
    </row>
    <row r="33" spans="1:10" ht="15.75" customHeight="1">
      <c r="A33" s="1" t="s">
        <v>31</v>
      </c>
      <c r="B33" s="1">
        <v>45</v>
      </c>
      <c r="C33" s="1">
        <v>0.4768</v>
      </c>
      <c r="E33" s="1" t="s">
        <v>37</v>
      </c>
      <c r="F33" s="1">
        <v>0.47339999999999999</v>
      </c>
      <c r="G33">
        <f t="shared" si="1"/>
        <v>-3.4000000000000141E-3</v>
      </c>
      <c r="H33">
        <f>AVERAGE(G31:G33)</f>
        <v>-1.7333333333333274E-3</v>
      </c>
      <c r="I33">
        <f t="shared" si="10"/>
        <v>-4.2264533333333243E-3</v>
      </c>
      <c r="J33">
        <f t="shared" si="11"/>
        <v>-2.4931199999999971E-3</v>
      </c>
    </row>
    <row r="35" spans="1:10" ht="15.75" customHeight="1">
      <c r="B35" s="1" t="s">
        <v>44</v>
      </c>
      <c r="C35" s="1">
        <v>0.3</v>
      </c>
    </row>
    <row r="36" spans="1:10" ht="15.75" customHeight="1">
      <c r="B36" s="1" t="s">
        <v>45</v>
      </c>
      <c r="C36" s="1" t="s">
        <v>46</v>
      </c>
      <c r="D36" s="1" t="s">
        <v>47</v>
      </c>
      <c r="F36" s="1" t="s">
        <v>48</v>
      </c>
      <c r="H36">
        <f>15*200</f>
        <v>3000</v>
      </c>
    </row>
    <row r="37" spans="1:10" ht="15.75" customHeight="1">
      <c r="B37" s="1"/>
      <c r="C37" s="1" t="s">
        <v>50</v>
      </c>
      <c r="D37" s="189" t="s">
        <v>164</v>
      </c>
      <c r="E37" s="186"/>
    </row>
    <row r="38" spans="1:10" ht="15.75" customHeight="1">
      <c r="B38" s="1" t="s">
        <v>52</v>
      </c>
      <c r="C38" s="1">
        <v>1500</v>
      </c>
      <c r="D38">
        <f>C38/$C$35-C38</f>
        <v>3500</v>
      </c>
      <c r="F38">
        <f>C38+D38</f>
        <v>5000</v>
      </c>
    </row>
    <row r="40" spans="1:10" ht="12.75">
      <c r="A40" s="1" t="s">
        <v>165</v>
      </c>
      <c r="F40" s="1" t="s">
        <v>166</v>
      </c>
      <c r="H40" s="1">
        <v>0.1983</v>
      </c>
      <c r="I40" s="1" t="s">
        <v>70</v>
      </c>
    </row>
    <row r="41" spans="1:10" ht="12.75">
      <c r="A41" s="1" t="s">
        <v>255</v>
      </c>
      <c r="F41" s="1" t="s">
        <v>168</v>
      </c>
      <c r="H41" s="1">
        <v>0.19539999999999999</v>
      </c>
      <c r="I41" s="1" t="s">
        <v>70</v>
      </c>
    </row>
    <row r="42" spans="1:10" ht="12.75">
      <c r="A42" s="1" t="s">
        <v>256</v>
      </c>
    </row>
    <row r="44" spans="1:10" ht="12.75">
      <c r="A44" s="10" t="s">
        <v>171</v>
      </c>
    </row>
  </sheetData>
  <mergeCells count="1">
    <mergeCell ref="D37:E37"/>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8"/>
  <sheetViews>
    <sheetView workbookViewId="0"/>
  </sheetViews>
  <sheetFormatPr defaultColWidth="14.42578125" defaultRowHeight="15.75" customHeight="1"/>
  <sheetData>
    <row r="2" spans="1:9" ht="15.75" customHeight="1">
      <c r="A2" s="163">
        <v>42145</v>
      </c>
    </row>
    <row r="3" spans="1:9" ht="15.75" customHeight="1">
      <c r="A3" s="1"/>
      <c r="B3" s="1" t="s">
        <v>0</v>
      </c>
      <c r="C3" s="1" t="s">
        <v>817</v>
      </c>
      <c r="D3" s="1" t="s">
        <v>816</v>
      </c>
      <c r="F3" s="1" t="s">
        <v>818</v>
      </c>
      <c r="G3" s="1" t="s">
        <v>1444</v>
      </c>
    </row>
    <row r="4" spans="1:9" ht="15.75" customHeight="1">
      <c r="A4" s="1"/>
      <c r="B4" s="1" t="s">
        <v>1303</v>
      </c>
      <c r="C4" s="1">
        <v>1</v>
      </c>
      <c r="D4" s="1">
        <v>1</v>
      </c>
      <c r="F4" s="1">
        <v>9.8000000000000007</v>
      </c>
      <c r="G4" s="1">
        <v>0</v>
      </c>
    </row>
    <row r="5" spans="1:9" ht="15.75" customHeight="1">
      <c r="A5" s="1"/>
      <c r="B5" s="1" t="s">
        <v>821</v>
      </c>
      <c r="C5">
        <f t="shared" ref="C5:D5" si="0">C4+1</f>
        <v>2</v>
      </c>
      <c r="D5" s="1">
        <f t="shared" si="0"/>
        <v>2</v>
      </c>
      <c r="F5" s="1">
        <v>8.1</v>
      </c>
      <c r="G5" s="1">
        <v>159.4</v>
      </c>
      <c r="I5" s="1" t="s">
        <v>1445</v>
      </c>
    </row>
    <row r="6" spans="1:9" ht="15.75" customHeight="1">
      <c r="A6" s="1"/>
      <c r="B6" s="1" t="s">
        <v>822</v>
      </c>
      <c r="C6">
        <f t="shared" ref="C6:D6" si="1">C5+1</f>
        <v>3</v>
      </c>
      <c r="D6" s="1">
        <f t="shared" si="1"/>
        <v>3</v>
      </c>
      <c r="F6" s="1">
        <v>98.4</v>
      </c>
      <c r="G6" s="1">
        <v>79.3</v>
      </c>
      <c r="I6" s="1" t="s">
        <v>1446</v>
      </c>
    </row>
    <row r="7" spans="1:9" ht="15.75" customHeight="1">
      <c r="A7" s="1"/>
      <c r="B7" s="1" t="s">
        <v>823</v>
      </c>
      <c r="C7">
        <f t="shared" ref="C7:D7" si="2">C6+1</f>
        <v>4</v>
      </c>
      <c r="D7" s="1">
        <f t="shared" si="2"/>
        <v>4</v>
      </c>
      <c r="F7" s="1">
        <v>249.7</v>
      </c>
      <c r="G7" s="1">
        <v>9.6</v>
      </c>
    </row>
    <row r="8" spans="1:9" ht="15.75" customHeight="1">
      <c r="B8" s="110" t="s">
        <v>692</v>
      </c>
      <c r="C8" s="1">
        <v>5</v>
      </c>
      <c r="D8" s="1">
        <f t="shared" ref="D8:D10" si="3">D7+1</f>
        <v>5</v>
      </c>
      <c r="F8" s="1">
        <v>0</v>
      </c>
      <c r="G8" s="1">
        <v>0</v>
      </c>
    </row>
    <row r="9" spans="1:9" ht="15.75" customHeight="1">
      <c r="A9" s="183"/>
      <c r="B9" s="1" t="s">
        <v>1303</v>
      </c>
      <c r="C9" s="1">
        <v>1</v>
      </c>
      <c r="D9" s="1">
        <f t="shared" si="3"/>
        <v>6</v>
      </c>
      <c r="F9" s="1">
        <v>0</v>
      </c>
      <c r="G9" s="1">
        <v>0</v>
      </c>
    </row>
    <row r="10" spans="1:9" ht="15.75" customHeight="1">
      <c r="A10" s="183">
        <v>42138</v>
      </c>
      <c r="B10" s="164" t="s">
        <v>17</v>
      </c>
      <c r="C10">
        <f>C7+1</f>
        <v>5</v>
      </c>
      <c r="D10" s="1">
        <f t="shared" si="3"/>
        <v>7</v>
      </c>
      <c r="F10" s="1">
        <v>12.3</v>
      </c>
      <c r="G10" s="1">
        <v>244.9</v>
      </c>
    </row>
    <row r="11" spans="1:9" ht="15.75" customHeight="1">
      <c r="A11" s="164"/>
      <c r="B11" s="164" t="s">
        <v>18</v>
      </c>
      <c r="C11">
        <f t="shared" ref="C11:D11" si="4">C10+1</f>
        <v>6</v>
      </c>
      <c r="D11" s="1">
        <f t="shared" si="4"/>
        <v>8</v>
      </c>
      <c r="F11" s="1">
        <v>14.2</v>
      </c>
      <c r="G11" s="1">
        <v>248.2</v>
      </c>
    </row>
    <row r="12" spans="1:9" ht="15.75" customHeight="1">
      <c r="A12" s="164"/>
      <c r="B12" s="164" t="s">
        <v>19</v>
      </c>
      <c r="C12">
        <f t="shared" ref="C12:D12" si="5">C11+1</f>
        <v>7</v>
      </c>
      <c r="D12" s="1">
        <f t="shared" si="5"/>
        <v>9</v>
      </c>
      <c r="F12" s="1">
        <v>12.6</v>
      </c>
      <c r="G12" s="1">
        <v>232.2</v>
      </c>
    </row>
    <row r="13" spans="1:9" ht="15.75" customHeight="1">
      <c r="A13" s="164"/>
      <c r="B13" s="164" t="s">
        <v>20</v>
      </c>
      <c r="C13">
        <f t="shared" ref="C13:D13" si="6">C12+1</f>
        <v>8</v>
      </c>
      <c r="D13" s="1">
        <f t="shared" si="6"/>
        <v>10</v>
      </c>
      <c r="F13" s="1">
        <v>2.1</v>
      </c>
      <c r="G13" s="1">
        <v>22.8</v>
      </c>
    </row>
    <row r="14" spans="1:9" ht="15.75" customHeight="1">
      <c r="A14" s="164"/>
      <c r="B14" s="164" t="s">
        <v>21</v>
      </c>
      <c r="C14">
        <f t="shared" ref="C14:D14" si="7">C13+1</f>
        <v>9</v>
      </c>
      <c r="D14" s="1">
        <f t="shared" si="7"/>
        <v>11</v>
      </c>
      <c r="F14" s="1">
        <v>2.4</v>
      </c>
      <c r="G14" s="1">
        <v>24</v>
      </c>
    </row>
    <row r="15" spans="1:9" ht="15.75" customHeight="1">
      <c r="A15" s="164"/>
      <c r="B15" s="164" t="s">
        <v>22</v>
      </c>
      <c r="C15">
        <f t="shared" ref="C15:D15" si="8">C14+1</f>
        <v>10</v>
      </c>
      <c r="D15" s="1">
        <f t="shared" si="8"/>
        <v>12</v>
      </c>
      <c r="F15" s="1">
        <v>2.2999999999999998</v>
      </c>
      <c r="G15" s="1">
        <v>21.5</v>
      </c>
    </row>
    <row r="16" spans="1:9" ht="15.75" customHeight="1">
      <c r="A16" s="164"/>
      <c r="B16" s="164" t="s">
        <v>23</v>
      </c>
      <c r="C16">
        <f t="shared" ref="C16:D16" si="9">C15+1</f>
        <v>11</v>
      </c>
      <c r="D16" s="1">
        <f t="shared" si="9"/>
        <v>13</v>
      </c>
      <c r="F16" s="1">
        <v>11.1</v>
      </c>
      <c r="G16" s="1">
        <v>149.69999999999999</v>
      </c>
    </row>
    <row r="17" spans="1:7" ht="15.75" customHeight="1">
      <c r="A17" s="164"/>
      <c r="B17" s="164" t="s">
        <v>24</v>
      </c>
      <c r="C17">
        <f t="shared" ref="C17:D17" si="10">C16+1</f>
        <v>12</v>
      </c>
      <c r="D17" s="1">
        <f t="shared" si="10"/>
        <v>14</v>
      </c>
      <c r="F17" s="1">
        <v>12.3</v>
      </c>
      <c r="G17" s="1">
        <v>162.19999999999999</v>
      </c>
    </row>
    <row r="18" spans="1:7" ht="15.75" customHeight="1">
      <c r="A18" s="164"/>
      <c r="B18" s="164" t="s">
        <v>25</v>
      </c>
      <c r="C18">
        <f t="shared" ref="C18:D18" si="11">C17+1</f>
        <v>13</v>
      </c>
      <c r="D18" s="1">
        <f t="shared" si="11"/>
        <v>15</v>
      </c>
      <c r="F18" s="1">
        <v>22.7</v>
      </c>
      <c r="G18" s="1">
        <v>171.3</v>
      </c>
    </row>
    <row r="19" spans="1:7" ht="15.75" customHeight="1">
      <c r="A19" s="164"/>
      <c r="B19" s="164" t="s">
        <v>26</v>
      </c>
      <c r="C19">
        <f t="shared" ref="C19:D19" si="12">C18+1</f>
        <v>14</v>
      </c>
      <c r="D19" s="1">
        <f t="shared" si="12"/>
        <v>16</v>
      </c>
      <c r="F19" s="1">
        <v>18.2</v>
      </c>
      <c r="G19" s="1">
        <v>124.7</v>
      </c>
    </row>
    <row r="20" spans="1:7" ht="15.75" customHeight="1">
      <c r="A20" s="164"/>
      <c r="B20" s="164" t="s">
        <v>27</v>
      </c>
      <c r="C20">
        <f t="shared" ref="C20:D20" si="13">C19+1</f>
        <v>15</v>
      </c>
      <c r="D20" s="1">
        <f t="shared" si="13"/>
        <v>17</v>
      </c>
      <c r="F20" s="1">
        <v>20.8</v>
      </c>
      <c r="G20" s="1">
        <v>125.4</v>
      </c>
    </row>
    <row r="21" spans="1:7" ht="15.75" customHeight="1">
      <c r="A21" s="164"/>
      <c r="B21" s="164" t="s">
        <v>28</v>
      </c>
      <c r="C21">
        <f t="shared" ref="C21:D21" si="14">C20+1</f>
        <v>16</v>
      </c>
      <c r="D21" s="1">
        <f t="shared" si="14"/>
        <v>18</v>
      </c>
      <c r="F21" s="1">
        <v>18.5</v>
      </c>
      <c r="G21" s="1">
        <v>111.1</v>
      </c>
    </row>
    <row r="22" spans="1:7" ht="15.75" customHeight="1">
      <c r="B22" s="1" t="s">
        <v>1303</v>
      </c>
      <c r="C22" s="1">
        <v>1</v>
      </c>
      <c r="D22" s="1">
        <f>D21+1</f>
        <v>19</v>
      </c>
      <c r="G22" s="1">
        <v>1</v>
      </c>
    </row>
    <row r="23" spans="1:7" ht="15.75" customHeight="1">
      <c r="B23" s="1" t="s">
        <v>821</v>
      </c>
      <c r="C23">
        <f t="shared" ref="C23:D23" si="15">C22+1</f>
        <v>2</v>
      </c>
      <c r="D23" s="1">
        <f t="shared" si="15"/>
        <v>20</v>
      </c>
      <c r="F23" s="1">
        <f>9.6+6.3</f>
        <v>15.899999999999999</v>
      </c>
      <c r="G23" s="1">
        <v>158</v>
      </c>
    </row>
    <row r="24" spans="1:7" ht="15.75" customHeight="1">
      <c r="B24" s="1" t="s">
        <v>822</v>
      </c>
      <c r="C24">
        <f t="shared" ref="C24:D24" si="16">C23+1</f>
        <v>3</v>
      </c>
      <c r="D24" s="1">
        <f t="shared" si="16"/>
        <v>21</v>
      </c>
      <c r="F24">
        <f>64.1+35.6</f>
        <v>99.699999999999989</v>
      </c>
      <c r="G24" s="1">
        <v>78.7</v>
      </c>
    </row>
    <row r="25" spans="1:7" ht="15.75" customHeight="1">
      <c r="B25" s="1" t="s">
        <v>823</v>
      </c>
      <c r="C25">
        <f t="shared" ref="C25:D25" si="17">C24+1</f>
        <v>4</v>
      </c>
      <c r="D25" s="1">
        <f t="shared" si="17"/>
        <v>22</v>
      </c>
      <c r="F25">
        <f>164.5+84.7</f>
        <v>249.2</v>
      </c>
      <c r="G25" s="1">
        <v>9.9</v>
      </c>
    </row>
    <row r="26" spans="1:7" ht="15.75" customHeight="1">
      <c r="B26" s="1" t="s">
        <v>692</v>
      </c>
      <c r="C26" s="1">
        <v>5</v>
      </c>
      <c r="D26" s="1">
        <f t="shared" ref="D26:D27" si="18">D25+1</f>
        <v>23</v>
      </c>
      <c r="F26" s="1">
        <v>0</v>
      </c>
      <c r="G26" s="1">
        <v>1.1000000000000001</v>
      </c>
    </row>
    <row r="27" spans="1:7" ht="15.75" customHeight="1">
      <c r="B27" s="1" t="s">
        <v>1303</v>
      </c>
      <c r="C27" s="1">
        <v>1</v>
      </c>
      <c r="D27" s="1">
        <f t="shared" si="18"/>
        <v>24</v>
      </c>
      <c r="F27" s="1">
        <v>0</v>
      </c>
      <c r="G27" s="1">
        <v>1.1000000000000001</v>
      </c>
    </row>
    <row r="28" spans="1:7" ht="15.75" customHeight="1">
      <c r="D28" s="1"/>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workbookViewId="0"/>
  </sheetViews>
  <sheetFormatPr defaultColWidth="14.42578125" defaultRowHeight="15.75" customHeight="1"/>
  <cols>
    <col min="6" max="6" width="16.7109375" customWidth="1"/>
  </cols>
  <sheetData>
    <row r="1" spans="1:17" ht="15.75" customHeight="1">
      <c r="A1" s="1" t="s">
        <v>1341</v>
      </c>
    </row>
    <row r="3" spans="1:17" ht="15.75" customHeight="1">
      <c r="A3" s="114" t="s">
        <v>1</v>
      </c>
      <c r="B3" s="114" t="s">
        <v>659</v>
      </c>
      <c r="C3" s="114" t="s">
        <v>660</v>
      </c>
      <c r="D3" s="114" t="s">
        <v>661</v>
      </c>
      <c r="E3" s="114" t="s">
        <v>1032</v>
      </c>
      <c r="F3" s="110" t="s">
        <v>1295</v>
      </c>
      <c r="G3" s="114" t="s">
        <v>97</v>
      </c>
      <c r="H3" s="114" t="s">
        <v>664</v>
      </c>
      <c r="I3" s="114" t="s">
        <v>665</v>
      </c>
      <c r="J3" s="114" t="s">
        <v>666</v>
      </c>
      <c r="K3" s="114" t="s">
        <v>667</v>
      </c>
      <c r="M3" s="1" t="s">
        <v>6</v>
      </c>
      <c r="N3" s="1" t="s">
        <v>7</v>
      </c>
      <c r="O3" s="1" t="s">
        <v>8</v>
      </c>
      <c r="P3" s="1" t="s">
        <v>9</v>
      </c>
      <c r="Q3" s="1" t="s">
        <v>10</v>
      </c>
    </row>
    <row r="4" spans="1:17" ht="15.75" customHeight="1">
      <c r="A4" s="114" t="s">
        <v>962</v>
      </c>
      <c r="B4" s="114"/>
      <c r="C4" s="114"/>
      <c r="D4" s="114"/>
      <c r="E4" s="114"/>
      <c r="F4" s="114"/>
      <c r="G4" s="114"/>
      <c r="H4" s="114"/>
      <c r="I4" s="114"/>
      <c r="K4" s="114"/>
    </row>
    <row r="5" spans="1:17" ht="15.75" customHeight="1">
      <c r="A5" s="114" t="s">
        <v>17</v>
      </c>
      <c r="B5" s="110" t="s">
        <v>832</v>
      </c>
      <c r="C5" s="111">
        <v>4</v>
      </c>
      <c r="D5" s="127">
        <f t="shared" ref="D5:D16" si="0">C5+I5/1000</f>
        <v>4.12</v>
      </c>
      <c r="E5" s="114" t="s">
        <v>692</v>
      </c>
      <c r="F5" s="112" t="s">
        <v>1121</v>
      </c>
      <c r="G5" s="111">
        <v>1</v>
      </c>
      <c r="H5" s="111">
        <v>10</v>
      </c>
      <c r="I5" s="112">
        <v>120</v>
      </c>
      <c r="J5" s="112">
        <v>10</v>
      </c>
      <c r="K5" s="111"/>
      <c r="M5" s="1">
        <v>13627</v>
      </c>
      <c r="N5" s="1"/>
      <c r="O5" s="1">
        <v>413</v>
      </c>
      <c r="P5" s="1">
        <v>787</v>
      </c>
      <c r="Q5" s="1">
        <v>216</v>
      </c>
    </row>
    <row r="6" spans="1:17" ht="15.75" customHeight="1">
      <c r="A6" s="114" t="s">
        <v>18</v>
      </c>
      <c r="B6" s="110" t="s">
        <v>832</v>
      </c>
      <c r="C6" s="111">
        <v>4</v>
      </c>
      <c r="D6" s="127">
        <f t="shared" si="0"/>
        <v>4.12</v>
      </c>
      <c r="E6" s="114" t="s">
        <v>692</v>
      </c>
      <c r="F6" s="112" t="s">
        <v>1121</v>
      </c>
      <c r="G6" s="111">
        <v>1</v>
      </c>
      <c r="H6" s="111">
        <v>10</v>
      </c>
      <c r="I6" s="112">
        <v>120</v>
      </c>
      <c r="J6" s="112">
        <v>10</v>
      </c>
      <c r="K6" s="111"/>
      <c r="M6" s="1">
        <v>13663.1</v>
      </c>
      <c r="O6" s="1">
        <v>411</v>
      </c>
      <c r="P6" s="1">
        <v>863</v>
      </c>
      <c r="Q6" s="1">
        <v>187</v>
      </c>
    </row>
    <row r="7" spans="1:17" ht="15.75" customHeight="1">
      <c r="A7" s="114" t="s">
        <v>19</v>
      </c>
      <c r="B7" s="110" t="s">
        <v>832</v>
      </c>
      <c r="C7" s="111">
        <v>4</v>
      </c>
      <c r="D7" s="127">
        <f t="shared" si="0"/>
        <v>4.12</v>
      </c>
      <c r="E7" s="114" t="s">
        <v>692</v>
      </c>
      <c r="F7" s="112" t="s">
        <v>1121</v>
      </c>
      <c r="G7" s="111">
        <v>1</v>
      </c>
      <c r="H7" s="111">
        <v>10</v>
      </c>
      <c r="I7" s="112">
        <v>120</v>
      </c>
      <c r="J7" s="112">
        <v>10</v>
      </c>
      <c r="K7" s="111"/>
      <c r="M7" s="1">
        <v>13728</v>
      </c>
      <c r="O7" s="1">
        <v>430</v>
      </c>
      <c r="P7" s="1">
        <v>629</v>
      </c>
      <c r="Q7" s="1">
        <v>272</v>
      </c>
    </row>
    <row r="8" spans="1:17" ht="15.75" customHeight="1">
      <c r="A8" s="114" t="s">
        <v>20</v>
      </c>
      <c r="B8" s="110" t="s">
        <v>832</v>
      </c>
      <c r="C8" s="112">
        <v>4</v>
      </c>
      <c r="D8" s="127">
        <f t="shared" si="0"/>
        <v>4.12</v>
      </c>
      <c r="E8" s="114" t="s">
        <v>692</v>
      </c>
      <c r="F8" s="112" t="s">
        <v>1121</v>
      </c>
      <c r="G8" s="112">
        <v>2</v>
      </c>
      <c r="H8" s="111">
        <v>10</v>
      </c>
      <c r="I8" s="112">
        <v>120</v>
      </c>
      <c r="J8" s="112">
        <v>10</v>
      </c>
      <c r="K8" s="111"/>
      <c r="M8" s="1">
        <v>14749</v>
      </c>
      <c r="O8" s="1">
        <v>437</v>
      </c>
      <c r="P8" s="1">
        <v>398</v>
      </c>
      <c r="Q8" s="1">
        <v>365</v>
      </c>
    </row>
    <row r="9" spans="1:17" ht="15.75" customHeight="1">
      <c r="A9" s="114" t="s">
        <v>21</v>
      </c>
      <c r="B9" s="110" t="s">
        <v>832</v>
      </c>
      <c r="C9" s="112">
        <v>4</v>
      </c>
      <c r="D9" s="127">
        <f t="shared" si="0"/>
        <v>4.12</v>
      </c>
      <c r="E9" s="114" t="s">
        <v>692</v>
      </c>
      <c r="F9" s="112" t="s">
        <v>1121</v>
      </c>
      <c r="G9" s="112">
        <v>2</v>
      </c>
      <c r="H9" s="111">
        <v>10</v>
      </c>
      <c r="I9" s="112">
        <v>120</v>
      </c>
      <c r="J9" s="112">
        <v>10</v>
      </c>
      <c r="K9" s="111"/>
      <c r="M9" s="1">
        <v>13996</v>
      </c>
      <c r="O9" s="1">
        <v>405</v>
      </c>
      <c r="P9" s="1">
        <v>496</v>
      </c>
      <c r="Q9" s="1">
        <v>315</v>
      </c>
    </row>
    <row r="10" spans="1:17" ht="15.75" customHeight="1">
      <c r="A10" s="114" t="s">
        <v>22</v>
      </c>
      <c r="B10" s="110" t="s">
        <v>832</v>
      </c>
      <c r="C10" s="112">
        <v>4</v>
      </c>
      <c r="D10" s="127">
        <f t="shared" si="0"/>
        <v>4.12</v>
      </c>
      <c r="E10" s="114" t="s">
        <v>692</v>
      </c>
      <c r="F10" s="112" t="s">
        <v>1121</v>
      </c>
      <c r="G10" s="112">
        <v>2</v>
      </c>
      <c r="H10" s="111">
        <v>10</v>
      </c>
      <c r="I10" s="112">
        <v>120</v>
      </c>
      <c r="J10" s="112">
        <v>10</v>
      </c>
      <c r="K10" s="111"/>
      <c r="M10" s="1">
        <v>14175</v>
      </c>
      <c r="O10" s="1">
        <v>419</v>
      </c>
      <c r="P10" s="1">
        <v>523</v>
      </c>
      <c r="Q10" s="1">
        <v>310</v>
      </c>
    </row>
    <row r="11" spans="1:17" ht="15.75" customHeight="1">
      <c r="A11" s="110" t="s">
        <v>23</v>
      </c>
      <c r="B11" s="110" t="s">
        <v>832</v>
      </c>
      <c r="C11" s="112">
        <v>4</v>
      </c>
      <c r="D11" s="127">
        <f t="shared" si="0"/>
        <v>4.12</v>
      </c>
      <c r="E11" s="114" t="s">
        <v>692</v>
      </c>
      <c r="F11" s="112" t="s">
        <v>1121</v>
      </c>
      <c r="G11" s="112">
        <v>3</v>
      </c>
      <c r="H11" s="111">
        <v>10</v>
      </c>
      <c r="I11" s="112">
        <v>120</v>
      </c>
      <c r="J11" s="112">
        <v>10</v>
      </c>
      <c r="K11" s="111"/>
      <c r="M11" s="1">
        <v>13571</v>
      </c>
      <c r="O11" s="1">
        <v>383.5</v>
      </c>
      <c r="P11" s="1">
        <v>735.2</v>
      </c>
      <c r="Q11" s="1">
        <v>216</v>
      </c>
    </row>
    <row r="12" spans="1:17" ht="15.75" customHeight="1">
      <c r="A12" s="110" t="s">
        <v>24</v>
      </c>
      <c r="B12" s="110" t="s">
        <v>832</v>
      </c>
      <c r="C12" s="112">
        <v>4</v>
      </c>
      <c r="D12" s="127">
        <f t="shared" si="0"/>
        <v>4.12</v>
      </c>
      <c r="E12" s="114" t="s">
        <v>692</v>
      </c>
      <c r="F12" s="112" t="s">
        <v>1121</v>
      </c>
      <c r="G12" s="112">
        <v>3</v>
      </c>
      <c r="H12" s="111">
        <v>10</v>
      </c>
      <c r="I12" s="112">
        <v>120</v>
      </c>
      <c r="J12" s="112">
        <v>10</v>
      </c>
      <c r="K12" s="111"/>
      <c r="M12" s="1">
        <v>13870</v>
      </c>
      <c r="O12" s="1">
        <v>430</v>
      </c>
      <c r="P12" s="1">
        <v>535</v>
      </c>
      <c r="Q12" s="1">
        <v>304</v>
      </c>
    </row>
    <row r="13" spans="1:17" ht="15.75" customHeight="1">
      <c r="A13" s="110" t="s">
        <v>25</v>
      </c>
      <c r="B13" s="110" t="s">
        <v>832</v>
      </c>
      <c r="C13" s="112">
        <v>4</v>
      </c>
      <c r="D13" s="127">
        <f t="shared" si="0"/>
        <v>4.12</v>
      </c>
      <c r="E13" s="114" t="s">
        <v>692</v>
      </c>
      <c r="F13" s="112" t="s">
        <v>1121</v>
      </c>
      <c r="G13" s="112">
        <v>3</v>
      </c>
      <c r="H13" s="111">
        <v>10</v>
      </c>
      <c r="I13" s="112">
        <v>120</v>
      </c>
      <c r="J13" s="112">
        <v>10</v>
      </c>
      <c r="K13" s="111"/>
      <c r="M13" s="1">
        <v>13667</v>
      </c>
      <c r="O13" s="1">
        <v>410</v>
      </c>
      <c r="P13" s="1">
        <v>542</v>
      </c>
      <c r="Q13" s="1">
        <v>281</v>
      </c>
    </row>
    <row r="14" spans="1:17" ht="15.75" customHeight="1">
      <c r="A14" s="110" t="s">
        <v>26</v>
      </c>
      <c r="B14" s="110" t="s">
        <v>832</v>
      </c>
      <c r="C14" s="112">
        <v>4</v>
      </c>
      <c r="D14" s="127">
        <f t="shared" si="0"/>
        <v>4.12</v>
      </c>
      <c r="E14" s="114" t="s">
        <v>692</v>
      </c>
      <c r="F14" s="112" t="s">
        <v>1121</v>
      </c>
      <c r="G14" s="112">
        <v>4</v>
      </c>
      <c r="H14" s="111">
        <v>10</v>
      </c>
      <c r="I14" s="112">
        <v>120</v>
      </c>
      <c r="J14" s="112">
        <v>10</v>
      </c>
      <c r="K14" s="111"/>
      <c r="M14" s="1">
        <v>12298</v>
      </c>
      <c r="O14" s="1">
        <v>344</v>
      </c>
      <c r="P14" s="1">
        <v>1168</v>
      </c>
      <c r="Q14" s="1">
        <v>72</v>
      </c>
    </row>
    <row r="15" spans="1:17" ht="15.75" customHeight="1">
      <c r="A15" s="110" t="s">
        <v>27</v>
      </c>
      <c r="B15" s="110" t="s">
        <v>832</v>
      </c>
      <c r="C15" s="112">
        <v>4</v>
      </c>
      <c r="D15" s="127">
        <f t="shared" si="0"/>
        <v>4.12</v>
      </c>
      <c r="E15" s="114" t="s">
        <v>692</v>
      </c>
      <c r="F15" s="112" t="s">
        <v>1121</v>
      </c>
      <c r="G15" s="112">
        <v>4</v>
      </c>
      <c r="H15" s="111">
        <v>10</v>
      </c>
      <c r="I15" s="112">
        <v>120</v>
      </c>
      <c r="J15" s="112">
        <v>10</v>
      </c>
      <c r="K15" s="111"/>
      <c r="M15" s="1">
        <v>12262</v>
      </c>
      <c r="O15" s="1">
        <v>342</v>
      </c>
      <c r="P15" s="1">
        <v>1094</v>
      </c>
      <c r="Q15" s="1">
        <v>87</v>
      </c>
    </row>
    <row r="16" spans="1:17" ht="15.75" customHeight="1">
      <c r="A16" s="110" t="s">
        <v>28</v>
      </c>
      <c r="B16" s="110" t="s">
        <v>832</v>
      </c>
      <c r="C16" s="112">
        <v>4</v>
      </c>
      <c r="D16" s="127">
        <f t="shared" si="0"/>
        <v>4.12</v>
      </c>
      <c r="E16" s="114" t="s">
        <v>692</v>
      </c>
      <c r="F16" s="112" t="s">
        <v>1121</v>
      </c>
      <c r="G16" s="112">
        <v>4</v>
      </c>
      <c r="H16" s="111">
        <v>10</v>
      </c>
      <c r="I16" s="112">
        <v>120</v>
      </c>
      <c r="J16" s="112">
        <v>10</v>
      </c>
      <c r="K16" s="111"/>
      <c r="M16" s="1">
        <v>11878</v>
      </c>
      <c r="O16" s="1">
        <v>343</v>
      </c>
      <c r="P16" s="1">
        <v>1223</v>
      </c>
      <c r="Q16" s="1">
        <v>38</v>
      </c>
    </row>
    <row r="17" spans="1:11" ht="15.75" customHeight="1">
      <c r="A17" s="114"/>
    </row>
    <row r="18" spans="1:11" ht="15.75" customHeight="1">
      <c r="A18" s="114"/>
      <c r="B18" s="114" t="s">
        <v>300</v>
      </c>
      <c r="C18" s="127">
        <f>SUM(C5:C17)</f>
        <v>48</v>
      </c>
      <c r="H18" s="1" t="s">
        <v>300</v>
      </c>
      <c r="I18">
        <f>SUM(I5:I17)</f>
        <v>1440</v>
      </c>
    </row>
    <row r="19" spans="1:11" ht="15.75" customHeight="1">
      <c r="A19" s="114"/>
    </row>
    <row r="20" spans="1:11" ht="15.75" customHeight="1">
      <c r="A20" s="125" t="s">
        <v>1040</v>
      </c>
      <c r="I20" s="125" t="s">
        <v>968</v>
      </c>
      <c r="J20" s="114"/>
      <c r="K20" s="114"/>
    </row>
    <row r="21" spans="1:11" ht="15.75" customHeight="1">
      <c r="A21" s="1" t="s">
        <v>1447</v>
      </c>
      <c r="I21" s="114" t="s">
        <v>970</v>
      </c>
      <c r="J21" s="114" t="s">
        <v>47</v>
      </c>
      <c r="K21" s="114" t="s">
        <v>300</v>
      </c>
    </row>
    <row r="22" spans="1:11" ht="15.75" customHeight="1">
      <c r="A22" s="1" t="s">
        <v>1448</v>
      </c>
      <c r="H22" s="1" t="s">
        <v>1237</v>
      </c>
      <c r="I22" s="125" t="s">
        <v>301</v>
      </c>
      <c r="J22" s="126">
        <v>0.5</v>
      </c>
    </row>
    <row r="23" spans="1:11" ht="15.75" customHeight="1">
      <c r="A23" s="1" t="s">
        <v>1449</v>
      </c>
      <c r="I23" s="112">
        <v>200</v>
      </c>
      <c r="J23" s="127">
        <f>I23/J22-I23</f>
        <v>200</v>
      </c>
      <c r="K23" s="127">
        <f>SUM(I23:J23)</f>
        <v>400</v>
      </c>
    </row>
    <row r="24" spans="1:11" ht="15.75" customHeight="1">
      <c r="A24" s="1" t="s">
        <v>1450</v>
      </c>
      <c r="H24" s="1" t="s">
        <v>1324</v>
      </c>
      <c r="I24" s="168" t="s">
        <v>1347</v>
      </c>
      <c r="J24" s="112">
        <v>0.5</v>
      </c>
      <c r="K24" s="127"/>
    </row>
    <row r="25" spans="1:11" ht="15.75" customHeight="1">
      <c r="A25" s="1" t="s">
        <v>1451</v>
      </c>
      <c r="I25" s="112">
        <v>200</v>
      </c>
      <c r="J25" s="127">
        <f>I25/J24-I25</f>
        <v>200</v>
      </c>
      <c r="K25" s="127">
        <f>SUM(I25:J25)</f>
        <v>400</v>
      </c>
    </row>
    <row r="26" spans="1:11" ht="15.75" customHeight="1">
      <c r="A26" s="1" t="s">
        <v>1452</v>
      </c>
      <c r="H26" s="1" t="s">
        <v>1350</v>
      </c>
      <c r="I26" s="5" t="s">
        <v>1351</v>
      </c>
      <c r="J26" s="1">
        <v>0.5</v>
      </c>
    </row>
    <row r="27" spans="1:11" ht="15.75" customHeight="1">
      <c r="A27" s="1" t="s">
        <v>1453</v>
      </c>
      <c r="I27" s="112">
        <v>200</v>
      </c>
      <c r="J27" s="127">
        <f>I27/J26-I27</f>
        <v>200</v>
      </c>
      <c r="K27" s="127">
        <f>SUM(I27:J27)</f>
        <v>400</v>
      </c>
    </row>
    <row r="28" spans="1:11" ht="15.75" customHeight="1">
      <c r="A28" s="1" t="s">
        <v>1454</v>
      </c>
      <c r="H28" s="1" t="s">
        <v>1353</v>
      </c>
      <c r="I28" s="5" t="s">
        <v>1354</v>
      </c>
      <c r="J28" s="1">
        <v>0.5</v>
      </c>
    </row>
    <row r="29" spans="1:11" ht="15.75" customHeight="1">
      <c r="I29" s="112">
        <v>200</v>
      </c>
      <c r="J29" s="127">
        <f>I29/J28-I29</f>
        <v>200</v>
      </c>
      <c r="K29" s="127">
        <f>SUM(I29:J29)</f>
        <v>400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sheetViews>
  <sheetFormatPr defaultColWidth="14.42578125" defaultRowHeight="15.75" customHeight="1"/>
  <cols>
    <col min="6" max="6" width="16.7109375" customWidth="1"/>
  </cols>
  <sheetData>
    <row r="1" spans="1:17" ht="15.75" customHeight="1">
      <c r="A1" s="1" t="s">
        <v>1455</v>
      </c>
    </row>
    <row r="3" spans="1:17" ht="15.75" customHeight="1">
      <c r="A3" s="114" t="s">
        <v>1</v>
      </c>
      <c r="B3" s="114" t="s">
        <v>659</v>
      </c>
      <c r="C3" s="114" t="s">
        <v>660</v>
      </c>
      <c r="D3" s="114" t="s">
        <v>661</v>
      </c>
      <c r="E3" s="114" t="s">
        <v>1032</v>
      </c>
      <c r="F3" s="110" t="s">
        <v>1295</v>
      </c>
      <c r="G3" s="114" t="s">
        <v>97</v>
      </c>
      <c r="H3" s="114" t="s">
        <v>664</v>
      </c>
      <c r="I3" s="114" t="s">
        <v>665</v>
      </c>
      <c r="J3" s="114" t="s">
        <v>666</v>
      </c>
      <c r="K3" s="114" t="s">
        <v>667</v>
      </c>
      <c r="M3" s="1" t="s">
        <v>6</v>
      </c>
      <c r="N3" s="1" t="s">
        <v>7</v>
      </c>
      <c r="O3" s="1" t="s">
        <v>8</v>
      </c>
      <c r="P3" s="1" t="s">
        <v>9</v>
      </c>
      <c r="Q3" s="1" t="s">
        <v>10</v>
      </c>
    </row>
    <row r="4" spans="1:17" ht="15.75" customHeight="1">
      <c r="A4" s="114" t="s">
        <v>962</v>
      </c>
      <c r="B4" s="114"/>
      <c r="C4" s="114"/>
      <c r="D4" s="114"/>
      <c r="E4" s="114"/>
      <c r="F4" s="114"/>
      <c r="G4" s="114"/>
      <c r="H4" s="114"/>
      <c r="I4" s="114"/>
      <c r="K4" s="114"/>
    </row>
    <row r="5" spans="1:17" ht="15.75" customHeight="1">
      <c r="A5" s="110" t="s">
        <v>408</v>
      </c>
      <c r="B5" s="110" t="s">
        <v>832</v>
      </c>
      <c r="C5" s="111">
        <v>4</v>
      </c>
      <c r="D5" s="127">
        <f t="shared" ref="D5:D13" si="0">C5+I5/1000</f>
        <v>4.1500000000000004</v>
      </c>
      <c r="E5" s="114" t="s">
        <v>692</v>
      </c>
      <c r="F5" s="112" t="s">
        <v>1121</v>
      </c>
      <c r="G5" s="111">
        <v>1</v>
      </c>
      <c r="H5" s="111">
        <v>10</v>
      </c>
      <c r="I5" s="112">
        <v>150</v>
      </c>
      <c r="J5" s="112">
        <v>10</v>
      </c>
      <c r="K5" s="111"/>
    </row>
    <row r="6" spans="1:17" ht="15.75" customHeight="1">
      <c r="A6" s="110" t="s">
        <v>409</v>
      </c>
      <c r="B6" s="110" t="s">
        <v>832</v>
      </c>
      <c r="C6" s="111">
        <v>4</v>
      </c>
      <c r="D6" s="127">
        <f t="shared" si="0"/>
        <v>4.1500000000000004</v>
      </c>
      <c r="E6" s="114" t="s">
        <v>692</v>
      </c>
      <c r="F6" s="112" t="s">
        <v>1121</v>
      </c>
      <c r="G6" s="111">
        <v>1</v>
      </c>
      <c r="H6" s="111">
        <v>10</v>
      </c>
      <c r="I6" s="112">
        <v>150</v>
      </c>
      <c r="J6" s="112">
        <v>10</v>
      </c>
      <c r="K6" s="111"/>
    </row>
    <row r="7" spans="1:17" ht="15.75" customHeight="1">
      <c r="A7" s="110" t="s">
        <v>410</v>
      </c>
      <c r="B7" s="110" t="s">
        <v>832</v>
      </c>
      <c r="C7" s="111">
        <v>4</v>
      </c>
      <c r="D7" s="127">
        <f t="shared" si="0"/>
        <v>4.1500000000000004</v>
      </c>
      <c r="E7" s="114" t="s">
        <v>692</v>
      </c>
      <c r="F7" s="112" t="s">
        <v>1121</v>
      </c>
      <c r="G7" s="111">
        <v>1</v>
      </c>
      <c r="H7" s="111">
        <v>10</v>
      </c>
      <c r="I7" s="112">
        <v>150</v>
      </c>
      <c r="J7" s="112">
        <v>10</v>
      </c>
      <c r="K7" s="111"/>
    </row>
    <row r="8" spans="1:17" ht="15.75" customHeight="1">
      <c r="A8" s="110" t="s">
        <v>411</v>
      </c>
      <c r="B8" s="110" t="s">
        <v>832</v>
      </c>
      <c r="C8" s="112">
        <v>4</v>
      </c>
      <c r="D8" s="127">
        <f t="shared" si="0"/>
        <v>4.1500000000000004</v>
      </c>
      <c r="E8" s="114" t="s">
        <v>692</v>
      </c>
      <c r="F8" s="112" t="s">
        <v>1121</v>
      </c>
      <c r="G8" s="111">
        <v>1</v>
      </c>
      <c r="H8" s="111">
        <v>10</v>
      </c>
      <c r="I8" s="112">
        <v>150</v>
      </c>
      <c r="J8" s="112">
        <v>10</v>
      </c>
      <c r="K8" s="111"/>
      <c r="L8" s="182">
        <v>42159.458333333336</v>
      </c>
      <c r="M8" s="1">
        <v>12455</v>
      </c>
      <c r="N8" s="1"/>
      <c r="O8" s="1">
        <v>376</v>
      </c>
      <c r="P8" s="1">
        <v>1285</v>
      </c>
      <c r="Q8" s="1">
        <v>49</v>
      </c>
    </row>
    <row r="9" spans="1:17" ht="15.75" customHeight="1">
      <c r="A9" s="110" t="s">
        <v>412</v>
      </c>
      <c r="B9" s="110" t="s">
        <v>832</v>
      </c>
      <c r="C9" s="112">
        <v>4</v>
      </c>
      <c r="D9" s="127">
        <f t="shared" si="0"/>
        <v>4.1500000000000004</v>
      </c>
      <c r="E9" s="114" t="s">
        <v>692</v>
      </c>
      <c r="F9" s="112" t="s">
        <v>1121</v>
      </c>
      <c r="G9" s="111">
        <v>1</v>
      </c>
      <c r="H9" s="111">
        <v>10</v>
      </c>
      <c r="I9" s="112">
        <v>150</v>
      </c>
      <c r="J9" s="112">
        <v>10</v>
      </c>
      <c r="K9" s="111"/>
      <c r="M9" s="1">
        <v>12287</v>
      </c>
      <c r="O9" s="1">
        <v>353</v>
      </c>
      <c r="P9" s="1">
        <v>1249</v>
      </c>
      <c r="Q9" s="1">
        <v>48</v>
      </c>
    </row>
    <row r="10" spans="1:17" ht="15.75" customHeight="1">
      <c r="A10" s="110" t="s">
        <v>413</v>
      </c>
      <c r="B10" s="110" t="s">
        <v>832</v>
      </c>
      <c r="C10" s="112">
        <v>4</v>
      </c>
      <c r="D10" s="127">
        <f t="shared" si="0"/>
        <v>4.1500000000000004</v>
      </c>
      <c r="E10" s="114" t="s">
        <v>692</v>
      </c>
      <c r="F10" s="112" t="s">
        <v>1121</v>
      </c>
      <c r="G10" s="111">
        <v>1</v>
      </c>
      <c r="H10" s="111">
        <v>10</v>
      </c>
      <c r="I10" s="112">
        <v>150</v>
      </c>
      <c r="J10" s="112">
        <v>10</v>
      </c>
      <c r="K10" s="111"/>
      <c r="M10" s="1">
        <v>12388</v>
      </c>
      <c r="O10" s="1">
        <v>359</v>
      </c>
      <c r="P10" s="1">
        <v>1211</v>
      </c>
      <c r="Q10" s="1">
        <v>62</v>
      </c>
    </row>
    <row r="11" spans="1:17" ht="15.75" customHeight="1">
      <c r="A11" s="110" t="s">
        <v>414</v>
      </c>
      <c r="B11" s="110" t="s">
        <v>832</v>
      </c>
      <c r="C11" s="112">
        <v>4</v>
      </c>
      <c r="D11" s="127">
        <f t="shared" si="0"/>
        <v>4.1500000000000004</v>
      </c>
      <c r="E11" s="114" t="s">
        <v>692</v>
      </c>
      <c r="F11" s="112" t="s">
        <v>1121</v>
      </c>
      <c r="G11" s="111">
        <v>1</v>
      </c>
      <c r="H11" s="111">
        <v>10</v>
      </c>
      <c r="I11" s="112">
        <v>150</v>
      </c>
      <c r="J11" s="112">
        <v>10</v>
      </c>
      <c r="K11" s="111"/>
      <c r="L11" s="182">
        <v>42166.618055555555</v>
      </c>
      <c r="M11" s="1">
        <v>12198</v>
      </c>
      <c r="O11" s="1">
        <v>356</v>
      </c>
      <c r="P11" s="1">
        <v>1034</v>
      </c>
      <c r="Q11" s="1">
        <v>112</v>
      </c>
    </row>
    <row r="12" spans="1:17" ht="15.75" customHeight="1">
      <c r="A12" s="110" t="s">
        <v>1376</v>
      </c>
      <c r="B12" s="110" t="s">
        <v>832</v>
      </c>
      <c r="C12" s="112">
        <v>4</v>
      </c>
      <c r="D12" s="127">
        <f t="shared" si="0"/>
        <v>4.1500000000000004</v>
      </c>
      <c r="E12" s="114" t="s">
        <v>692</v>
      </c>
      <c r="F12" s="112" t="s">
        <v>1121</v>
      </c>
      <c r="G12" s="111">
        <v>1</v>
      </c>
      <c r="H12" s="111">
        <v>10</v>
      </c>
      <c r="I12" s="112">
        <v>150</v>
      </c>
      <c r="J12" s="112">
        <v>10</v>
      </c>
      <c r="K12" s="111"/>
      <c r="M12" s="1">
        <v>12799</v>
      </c>
      <c r="O12" s="1">
        <v>372</v>
      </c>
      <c r="P12" s="1">
        <v>1058</v>
      </c>
      <c r="Q12" s="1">
        <v>119</v>
      </c>
    </row>
    <row r="13" spans="1:17" ht="15.75" customHeight="1">
      <c r="A13" s="110" t="s">
        <v>1377</v>
      </c>
      <c r="B13" s="110" t="s">
        <v>832</v>
      </c>
      <c r="C13" s="112">
        <v>4</v>
      </c>
      <c r="D13" s="127">
        <f t="shared" si="0"/>
        <v>4.1500000000000004</v>
      </c>
      <c r="E13" s="114" t="s">
        <v>692</v>
      </c>
      <c r="F13" s="112" t="s">
        <v>1121</v>
      </c>
      <c r="G13" s="111">
        <v>1</v>
      </c>
      <c r="H13" s="111">
        <v>10</v>
      </c>
      <c r="I13" s="112">
        <v>150</v>
      </c>
      <c r="J13" s="112">
        <v>10</v>
      </c>
      <c r="K13" s="111"/>
      <c r="M13" s="1">
        <v>12601</v>
      </c>
      <c r="O13" s="1">
        <v>351</v>
      </c>
      <c r="P13" s="1">
        <v>1181</v>
      </c>
      <c r="Q13" s="1">
        <v>79</v>
      </c>
    </row>
    <row r="14" spans="1:17" ht="15.75" customHeight="1">
      <c r="A14" s="114"/>
      <c r="B14" s="110"/>
      <c r="C14" s="112"/>
      <c r="D14" s="127"/>
      <c r="E14" s="114"/>
      <c r="F14" s="112"/>
      <c r="G14" s="111"/>
      <c r="H14" s="111"/>
      <c r="I14" s="112"/>
      <c r="J14" s="111"/>
      <c r="K14" s="111"/>
    </row>
    <row r="15" spans="1:17" ht="15.75" customHeight="1">
      <c r="A15" s="114"/>
      <c r="B15" s="110"/>
      <c r="C15" s="112"/>
      <c r="D15" s="127"/>
      <c r="E15" s="114"/>
      <c r="F15" s="112"/>
      <c r="G15" s="111"/>
      <c r="H15" s="111"/>
      <c r="I15" s="112"/>
      <c r="J15" s="111"/>
      <c r="K15" s="111"/>
    </row>
    <row r="16" spans="1:17" ht="15.75" customHeight="1">
      <c r="A16" s="114"/>
      <c r="B16" s="110"/>
      <c r="C16" s="112"/>
      <c r="D16" s="127"/>
      <c r="E16" s="114"/>
      <c r="F16" s="112"/>
      <c r="G16" s="111"/>
      <c r="H16" s="111"/>
      <c r="I16" s="112"/>
      <c r="J16" s="111"/>
      <c r="K16" s="111"/>
    </row>
    <row r="17" spans="1:11" ht="15.75" customHeight="1">
      <c r="A17" s="114"/>
    </row>
    <row r="18" spans="1:11" ht="15.75" customHeight="1">
      <c r="A18" s="114"/>
      <c r="B18" s="114" t="s">
        <v>300</v>
      </c>
      <c r="C18" s="127">
        <f>SUM(C5:C17)</f>
        <v>36</v>
      </c>
      <c r="H18" s="1" t="s">
        <v>300</v>
      </c>
      <c r="I18">
        <f>SUM(I5:I17)</f>
        <v>1350</v>
      </c>
    </row>
    <row r="19" spans="1:11" ht="15.75" customHeight="1">
      <c r="A19" s="114"/>
    </row>
    <row r="20" spans="1:11" ht="15.75" customHeight="1">
      <c r="A20" s="125" t="s">
        <v>1040</v>
      </c>
      <c r="I20" s="125" t="s">
        <v>968</v>
      </c>
      <c r="J20" s="114"/>
      <c r="K20" s="114"/>
    </row>
    <row r="21" spans="1:11" ht="15.75" customHeight="1">
      <c r="A21" s="1" t="s">
        <v>1456</v>
      </c>
      <c r="I21" s="114" t="s">
        <v>970</v>
      </c>
      <c r="J21" s="114" t="s">
        <v>47</v>
      </c>
      <c r="K21" s="114" t="s">
        <v>300</v>
      </c>
    </row>
    <row r="22" spans="1:11" ht="15.75" customHeight="1">
      <c r="A22" s="1" t="s">
        <v>1457</v>
      </c>
      <c r="I22" s="125" t="s">
        <v>301</v>
      </c>
      <c r="J22" s="126">
        <v>0.3</v>
      </c>
    </row>
    <row r="23" spans="1:11" ht="15.75" customHeight="1">
      <c r="A23" s="1" t="s">
        <v>1458</v>
      </c>
      <c r="I23" s="112">
        <v>420</v>
      </c>
      <c r="J23" s="127">
        <f>I23/J22-I23</f>
        <v>980</v>
      </c>
      <c r="K23" s="127">
        <f>SUM(I23:J23)</f>
        <v>1400</v>
      </c>
    </row>
    <row r="24" spans="1:11" ht="15.75" customHeight="1">
      <c r="A24" s="1" t="s">
        <v>1459</v>
      </c>
      <c r="I24" s="111"/>
      <c r="J24" s="127"/>
      <c r="K24" s="127"/>
    </row>
    <row r="25" spans="1:11" ht="15.75" customHeight="1">
      <c r="A25" s="1" t="s">
        <v>1460</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workbookViewId="0"/>
  </sheetViews>
  <sheetFormatPr defaultColWidth="14.42578125" defaultRowHeight="15.75" customHeight="1"/>
  <sheetData>
    <row r="1" spans="1:12" ht="15.75" customHeight="1">
      <c r="A1" s="1" t="s">
        <v>1414</v>
      </c>
    </row>
    <row r="3" spans="1:12" ht="15.75" customHeight="1">
      <c r="A3" s="114" t="s">
        <v>1</v>
      </c>
      <c r="B3" s="114" t="s">
        <v>659</v>
      </c>
      <c r="C3" s="114" t="s">
        <v>660</v>
      </c>
      <c r="D3" s="114" t="s">
        <v>661</v>
      </c>
      <c r="E3" s="114" t="s">
        <v>1032</v>
      </c>
      <c r="F3" s="110" t="s">
        <v>1415</v>
      </c>
      <c r="G3" s="114" t="s">
        <v>97</v>
      </c>
      <c r="H3" s="114" t="s">
        <v>664</v>
      </c>
      <c r="I3" s="114" t="s">
        <v>665</v>
      </c>
      <c r="J3" s="114" t="s">
        <v>666</v>
      </c>
      <c r="K3" s="114" t="s">
        <v>667</v>
      </c>
      <c r="L3" s="1" t="s">
        <v>1461</v>
      </c>
    </row>
    <row r="4" spans="1:12" ht="15.75" customHeight="1">
      <c r="A4" s="114" t="s">
        <v>962</v>
      </c>
      <c r="B4" s="114"/>
      <c r="C4" s="114"/>
      <c r="D4" s="114"/>
      <c r="E4" s="114"/>
      <c r="F4" s="114"/>
      <c r="G4" s="114"/>
      <c r="H4" s="114"/>
      <c r="I4" s="114"/>
      <c r="K4" s="114"/>
    </row>
    <row r="5" spans="1:12" ht="15.75" customHeight="1">
      <c r="A5" s="114" t="s">
        <v>17</v>
      </c>
      <c r="B5" s="114" t="s">
        <v>591</v>
      </c>
      <c r="C5" s="111">
        <v>4</v>
      </c>
      <c r="D5" s="127">
        <f t="shared" ref="D5:D16" si="0">C5+I5/1000</f>
        <v>4.0999999999999996</v>
      </c>
      <c r="E5" s="114" t="s">
        <v>692</v>
      </c>
      <c r="F5" s="112" t="s">
        <v>1416</v>
      </c>
      <c r="G5" s="111">
        <v>1</v>
      </c>
      <c r="H5" s="111">
        <v>10</v>
      </c>
      <c r="I5" s="112">
        <v>100</v>
      </c>
      <c r="J5" s="111">
        <v>5</v>
      </c>
      <c r="K5" s="111">
        <v>50</v>
      </c>
      <c r="L5" s="1">
        <v>0.11700000000000001</v>
      </c>
    </row>
    <row r="6" spans="1:12" ht="15.75" customHeight="1">
      <c r="A6" s="114" t="s">
        <v>18</v>
      </c>
      <c r="B6" s="114" t="s">
        <v>591</v>
      </c>
      <c r="C6" s="111">
        <v>4</v>
      </c>
      <c r="D6" s="127">
        <f t="shared" si="0"/>
        <v>4.0999999999999996</v>
      </c>
      <c r="E6" s="114" t="s">
        <v>692</v>
      </c>
      <c r="F6" s="112" t="s">
        <v>1416</v>
      </c>
      <c r="G6" s="111">
        <v>1</v>
      </c>
      <c r="H6" s="111">
        <v>10</v>
      </c>
      <c r="I6" s="112">
        <v>100</v>
      </c>
      <c r="J6" s="111">
        <v>5</v>
      </c>
      <c r="K6" s="111">
        <v>50</v>
      </c>
      <c r="L6" s="1">
        <v>9.0999999999999998E-2</v>
      </c>
    </row>
    <row r="7" spans="1:12" ht="15.75" customHeight="1">
      <c r="A7" s="114" t="s">
        <v>19</v>
      </c>
      <c r="B7" s="114" t="s">
        <v>591</v>
      </c>
      <c r="C7" s="111">
        <v>4</v>
      </c>
      <c r="D7" s="127">
        <f t="shared" si="0"/>
        <v>4.0999999999999996</v>
      </c>
      <c r="E7" s="114" t="s">
        <v>692</v>
      </c>
      <c r="F7" s="112" t="s">
        <v>1416</v>
      </c>
      <c r="G7" s="111">
        <v>1</v>
      </c>
      <c r="H7" s="111">
        <v>10</v>
      </c>
      <c r="I7" s="112">
        <v>100</v>
      </c>
      <c r="J7" s="111">
        <v>5</v>
      </c>
      <c r="K7" s="111">
        <v>50</v>
      </c>
      <c r="L7" s="1">
        <v>6.4000000000000001E-2</v>
      </c>
    </row>
    <row r="8" spans="1:12" ht="15.75" customHeight="1">
      <c r="A8" s="114" t="s">
        <v>20</v>
      </c>
      <c r="B8" s="114" t="s">
        <v>591</v>
      </c>
      <c r="C8" s="112">
        <v>4</v>
      </c>
      <c r="D8" s="127">
        <f t="shared" si="0"/>
        <v>4.0999999999999996</v>
      </c>
      <c r="E8" s="114" t="s">
        <v>692</v>
      </c>
      <c r="F8" s="112" t="s">
        <v>1121</v>
      </c>
      <c r="G8" s="111">
        <v>1</v>
      </c>
      <c r="H8" s="111">
        <v>10</v>
      </c>
      <c r="I8" s="112">
        <v>100</v>
      </c>
      <c r="J8" s="111">
        <v>5</v>
      </c>
      <c r="K8" s="111">
        <v>50</v>
      </c>
      <c r="L8" s="1">
        <v>7.2999999999999995E-2</v>
      </c>
    </row>
    <row r="9" spans="1:12" ht="15.75" customHeight="1">
      <c r="A9" s="114" t="s">
        <v>21</v>
      </c>
      <c r="B9" s="114" t="s">
        <v>591</v>
      </c>
      <c r="C9" s="112">
        <v>4</v>
      </c>
      <c r="D9" s="127">
        <f t="shared" si="0"/>
        <v>4.0999999999999996</v>
      </c>
      <c r="E9" s="114" t="s">
        <v>692</v>
      </c>
      <c r="F9" s="112" t="s">
        <v>1121</v>
      </c>
      <c r="G9" s="111">
        <v>1</v>
      </c>
      <c r="H9" s="111">
        <v>10</v>
      </c>
      <c r="I9" s="112">
        <v>100</v>
      </c>
      <c r="J9" s="111">
        <v>5</v>
      </c>
      <c r="K9" s="111">
        <v>50</v>
      </c>
      <c r="L9" s="1">
        <v>0.104</v>
      </c>
    </row>
    <row r="10" spans="1:12" ht="15.75" customHeight="1">
      <c r="A10" s="114" t="s">
        <v>22</v>
      </c>
      <c r="B10" s="114" t="s">
        <v>591</v>
      </c>
      <c r="C10" s="112">
        <v>4</v>
      </c>
      <c r="D10" s="127">
        <f t="shared" si="0"/>
        <v>4.0999999999999996</v>
      </c>
      <c r="E10" s="114" t="s">
        <v>692</v>
      </c>
      <c r="F10" s="112" t="s">
        <v>1121</v>
      </c>
      <c r="G10" s="111">
        <v>1</v>
      </c>
      <c r="H10" s="111">
        <v>10</v>
      </c>
      <c r="I10" s="112">
        <v>100</v>
      </c>
      <c r="J10" s="111">
        <v>5</v>
      </c>
      <c r="K10" s="111">
        <v>50</v>
      </c>
      <c r="L10" s="1">
        <v>8.1000000000000003E-2</v>
      </c>
    </row>
    <row r="11" spans="1:12" ht="15.75" customHeight="1">
      <c r="A11" s="114" t="s">
        <v>23</v>
      </c>
      <c r="B11" s="114" t="s">
        <v>591</v>
      </c>
      <c r="C11" s="112">
        <v>6</v>
      </c>
      <c r="D11" s="127">
        <f t="shared" si="0"/>
        <v>6.1</v>
      </c>
      <c r="E11" s="114" t="s">
        <v>692</v>
      </c>
      <c r="F11" s="112" t="s">
        <v>1416</v>
      </c>
      <c r="G11" s="111">
        <v>1</v>
      </c>
      <c r="H11" s="111">
        <v>10</v>
      </c>
      <c r="I11" s="112">
        <v>100</v>
      </c>
      <c r="J11" s="111">
        <v>5</v>
      </c>
      <c r="K11" s="111">
        <v>50</v>
      </c>
      <c r="L11" s="1">
        <v>0.18</v>
      </c>
    </row>
    <row r="12" spans="1:12" ht="15.75" customHeight="1">
      <c r="A12" s="114" t="s">
        <v>24</v>
      </c>
      <c r="B12" s="114" t="s">
        <v>591</v>
      </c>
      <c r="C12" s="112">
        <v>6</v>
      </c>
      <c r="D12" s="127">
        <f t="shared" si="0"/>
        <v>6.1</v>
      </c>
      <c r="E12" s="114" t="s">
        <v>692</v>
      </c>
      <c r="F12" s="112" t="s">
        <v>1416</v>
      </c>
      <c r="G12" s="111">
        <v>1</v>
      </c>
      <c r="H12" s="111">
        <v>10</v>
      </c>
      <c r="I12" s="112">
        <v>100</v>
      </c>
      <c r="J12" s="111">
        <v>5</v>
      </c>
      <c r="K12" s="111">
        <v>50</v>
      </c>
      <c r="L12" s="1">
        <v>0.159</v>
      </c>
    </row>
    <row r="13" spans="1:12" ht="15.75" customHeight="1">
      <c r="A13" s="114" t="s">
        <v>25</v>
      </c>
      <c r="B13" s="114" t="s">
        <v>591</v>
      </c>
      <c r="C13" s="112">
        <v>6</v>
      </c>
      <c r="D13" s="127">
        <f t="shared" si="0"/>
        <v>6.1</v>
      </c>
      <c r="E13" s="114" t="s">
        <v>692</v>
      </c>
      <c r="F13" s="112" t="s">
        <v>1416</v>
      </c>
      <c r="G13" s="111">
        <v>1</v>
      </c>
      <c r="H13" s="111">
        <v>10</v>
      </c>
      <c r="I13" s="112">
        <v>100</v>
      </c>
      <c r="J13" s="111">
        <v>5</v>
      </c>
      <c r="K13" s="111">
        <v>50</v>
      </c>
      <c r="L13" s="1">
        <v>0.13500000000000001</v>
      </c>
    </row>
    <row r="14" spans="1:12" ht="15.75" customHeight="1">
      <c r="A14" s="114" t="s">
        <v>26</v>
      </c>
      <c r="B14" s="110" t="s">
        <v>591</v>
      </c>
      <c r="C14" s="112">
        <v>8</v>
      </c>
      <c r="D14" s="127">
        <f t="shared" si="0"/>
        <v>8.1</v>
      </c>
      <c r="E14" s="114" t="s">
        <v>692</v>
      </c>
      <c r="F14" s="112" t="s">
        <v>1416</v>
      </c>
      <c r="G14" s="111">
        <v>1</v>
      </c>
      <c r="H14" s="111">
        <v>10</v>
      </c>
      <c r="I14" s="112">
        <v>100</v>
      </c>
      <c r="J14" s="111">
        <v>5</v>
      </c>
      <c r="K14" s="111">
        <v>50</v>
      </c>
      <c r="L14" s="1">
        <v>0.17299999999999999</v>
      </c>
    </row>
    <row r="15" spans="1:12" ht="15.75" customHeight="1">
      <c r="A15" s="114" t="s">
        <v>27</v>
      </c>
      <c r="B15" s="110" t="s">
        <v>591</v>
      </c>
      <c r="C15" s="112">
        <v>8</v>
      </c>
      <c r="D15" s="127">
        <f t="shared" si="0"/>
        <v>8.1</v>
      </c>
      <c r="E15" s="114" t="s">
        <v>692</v>
      </c>
      <c r="F15" s="112" t="s">
        <v>1416</v>
      </c>
      <c r="G15" s="111">
        <v>1</v>
      </c>
      <c r="H15" s="111">
        <v>10</v>
      </c>
      <c r="I15" s="112">
        <v>100</v>
      </c>
      <c r="J15" s="111">
        <v>5</v>
      </c>
      <c r="K15" s="111">
        <v>50</v>
      </c>
      <c r="L15" s="1">
        <v>0.16900000000000001</v>
      </c>
    </row>
    <row r="16" spans="1:12" ht="15.75" customHeight="1">
      <c r="A16" s="114" t="s">
        <v>28</v>
      </c>
      <c r="B16" s="110" t="s">
        <v>591</v>
      </c>
      <c r="C16" s="112">
        <v>8</v>
      </c>
      <c r="D16" s="127">
        <f t="shared" si="0"/>
        <v>8.1</v>
      </c>
      <c r="E16" s="114" t="s">
        <v>692</v>
      </c>
      <c r="F16" s="112" t="s">
        <v>1416</v>
      </c>
      <c r="G16" s="111">
        <v>1</v>
      </c>
      <c r="H16" s="111">
        <v>10</v>
      </c>
      <c r="I16" s="112">
        <v>100</v>
      </c>
      <c r="J16" s="111">
        <v>5</v>
      </c>
      <c r="K16" s="111">
        <v>50</v>
      </c>
      <c r="L16" s="1">
        <v>0.159</v>
      </c>
    </row>
    <row r="17" spans="1:11" ht="15.75" customHeight="1">
      <c r="A17" s="114"/>
    </row>
    <row r="18" spans="1:11" ht="15.75" customHeight="1">
      <c r="A18" s="114"/>
      <c r="B18" s="114" t="s">
        <v>300</v>
      </c>
      <c r="C18" s="127">
        <f>SUM(C5:C17)</f>
        <v>66</v>
      </c>
      <c r="H18" s="1" t="s">
        <v>300</v>
      </c>
      <c r="I18">
        <f>SUM(I5:I17)</f>
        <v>1200</v>
      </c>
    </row>
    <row r="19" spans="1:11" ht="15.75" customHeight="1">
      <c r="A19" s="114"/>
    </row>
    <row r="20" spans="1:11" ht="15.75" customHeight="1">
      <c r="A20" s="125" t="s">
        <v>1040</v>
      </c>
      <c r="I20" s="125" t="s">
        <v>968</v>
      </c>
      <c r="J20" s="114"/>
      <c r="K20" s="114"/>
    </row>
    <row r="21" spans="1:11" ht="15.75" customHeight="1">
      <c r="A21" s="1" t="s">
        <v>1462</v>
      </c>
      <c r="I21" s="114" t="s">
        <v>970</v>
      </c>
      <c r="J21" s="114" t="s">
        <v>47</v>
      </c>
      <c r="K21" s="114" t="s">
        <v>300</v>
      </c>
    </row>
    <row r="22" spans="1:11" ht="15.75" customHeight="1">
      <c r="A22" s="1" t="s">
        <v>1463</v>
      </c>
      <c r="I22" s="125" t="s">
        <v>301</v>
      </c>
      <c r="J22" s="184">
        <v>0.3</v>
      </c>
    </row>
    <row r="23" spans="1:11" ht="15.75" customHeight="1">
      <c r="A23" s="1" t="s">
        <v>1464</v>
      </c>
      <c r="I23" s="112">
        <v>420</v>
      </c>
      <c r="J23" s="127">
        <f>I23/J22-I23</f>
        <v>980</v>
      </c>
      <c r="K23" s="127">
        <f>SUM(I23:J23)</f>
        <v>1400</v>
      </c>
    </row>
    <row r="24" spans="1:11" ht="15.75" customHeight="1">
      <c r="A24" s="1" t="s">
        <v>1194</v>
      </c>
      <c r="I24" s="111"/>
      <c r="J24" s="127"/>
      <c r="K24" s="127"/>
    </row>
    <row r="25" spans="1:11" ht="15.75" customHeight="1">
      <c r="A25" s="1" t="s">
        <v>1465</v>
      </c>
    </row>
    <row r="26" spans="1:11" ht="15.75" customHeight="1">
      <c r="A26" s="1" t="s">
        <v>1466</v>
      </c>
    </row>
    <row r="27" spans="1:11" ht="15.75" customHeight="1">
      <c r="A27" s="1" t="s">
        <v>1467</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0"/>
  <sheetViews>
    <sheetView workbookViewId="0"/>
  </sheetViews>
  <sheetFormatPr defaultColWidth="14.42578125" defaultRowHeight="15.75" customHeight="1"/>
  <sheetData>
    <row r="3" spans="1:4" ht="15.75" customHeight="1">
      <c r="A3" s="1"/>
      <c r="B3" s="1" t="s">
        <v>0</v>
      </c>
      <c r="C3" s="1" t="s">
        <v>817</v>
      </c>
      <c r="D3" s="1" t="s">
        <v>816</v>
      </c>
    </row>
    <row r="4" spans="1:4" ht="15.75" customHeight="1">
      <c r="A4" s="1"/>
      <c r="B4" s="1" t="s">
        <v>1303</v>
      </c>
      <c r="C4" s="1">
        <v>1</v>
      </c>
      <c r="D4" s="1">
        <v>1</v>
      </c>
    </row>
    <row r="5" spans="1:4" ht="15.75" customHeight="1">
      <c r="A5" s="1"/>
      <c r="B5" s="1" t="s">
        <v>821</v>
      </c>
      <c r="C5">
        <f t="shared" ref="C5:D5" si="0">C4+1</f>
        <v>2</v>
      </c>
      <c r="D5" s="1">
        <f t="shared" si="0"/>
        <v>2</v>
      </c>
    </row>
    <row r="6" spans="1:4" ht="15.75" customHeight="1">
      <c r="A6" s="1"/>
      <c r="B6" s="1" t="s">
        <v>822</v>
      </c>
      <c r="C6">
        <f t="shared" ref="C6:D6" si="1">C5+1</f>
        <v>3</v>
      </c>
      <c r="D6" s="1">
        <f t="shared" si="1"/>
        <v>3</v>
      </c>
    </row>
    <row r="7" spans="1:4" ht="15.75" customHeight="1">
      <c r="A7" s="1"/>
      <c r="B7" s="1" t="s">
        <v>823</v>
      </c>
      <c r="C7">
        <f t="shared" ref="C7:D7" si="2">C6+1</f>
        <v>4</v>
      </c>
      <c r="D7" s="1">
        <f t="shared" si="2"/>
        <v>4</v>
      </c>
    </row>
    <row r="8" spans="1:4" ht="15.75" customHeight="1">
      <c r="A8" s="1"/>
      <c r="B8" s="1" t="s">
        <v>1303</v>
      </c>
      <c r="C8" s="1">
        <v>1</v>
      </c>
      <c r="D8" s="1">
        <f t="shared" ref="D8:D10" si="3">D7+1</f>
        <v>5</v>
      </c>
    </row>
    <row r="9" spans="1:4" ht="15.75" customHeight="1">
      <c r="A9" s="183"/>
      <c r="B9" s="110" t="s">
        <v>692</v>
      </c>
      <c r="C9" s="1">
        <v>29</v>
      </c>
      <c r="D9" s="1">
        <f t="shared" si="3"/>
        <v>6</v>
      </c>
    </row>
    <row r="10" spans="1:4" ht="15.75" customHeight="1">
      <c r="A10" s="183">
        <v>42138</v>
      </c>
      <c r="B10" s="164" t="s">
        <v>17</v>
      </c>
      <c r="C10">
        <f>C7+1</f>
        <v>5</v>
      </c>
      <c r="D10" s="1">
        <f t="shared" si="3"/>
        <v>7</v>
      </c>
    </row>
    <row r="11" spans="1:4" ht="15.75" customHeight="1">
      <c r="A11" s="164"/>
      <c r="B11" s="164" t="s">
        <v>18</v>
      </c>
      <c r="C11">
        <f t="shared" ref="C11:D11" si="4">C10+1</f>
        <v>6</v>
      </c>
      <c r="D11" s="1">
        <f t="shared" si="4"/>
        <v>8</v>
      </c>
    </row>
    <row r="12" spans="1:4" ht="15.75" customHeight="1">
      <c r="A12" s="164"/>
      <c r="B12" s="164" t="s">
        <v>19</v>
      </c>
      <c r="C12">
        <f t="shared" ref="C12:D12" si="5">C11+1</f>
        <v>7</v>
      </c>
      <c r="D12" s="1">
        <f t="shared" si="5"/>
        <v>9</v>
      </c>
    </row>
    <row r="13" spans="1:4" ht="15.75" customHeight="1">
      <c r="A13" s="164"/>
      <c r="B13" s="164" t="s">
        <v>20</v>
      </c>
      <c r="C13">
        <f t="shared" ref="C13:D13" si="6">C12+1</f>
        <v>8</v>
      </c>
      <c r="D13" s="1">
        <f t="shared" si="6"/>
        <v>10</v>
      </c>
    </row>
    <row r="14" spans="1:4" ht="15.75" customHeight="1">
      <c r="A14" s="164"/>
      <c r="B14" s="164" t="s">
        <v>21</v>
      </c>
      <c r="C14">
        <f t="shared" ref="C14:D14" si="7">C13+1</f>
        <v>9</v>
      </c>
      <c r="D14" s="1">
        <f t="shared" si="7"/>
        <v>11</v>
      </c>
    </row>
    <row r="15" spans="1:4" ht="15.75" customHeight="1">
      <c r="A15" s="164"/>
      <c r="B15" s="164" t="s">
        <v>22</v>
      </c>
      <c r="C15">
        <f t="shared" ref="C15:D15" si="8">C14+1</f>
        <v>10</v>
      </c>
      <c r="D15" s="1">
        <f t="shared" si="8"/>
        <v>12</v>
      </c>
    </row>
    <row r="16" spans="1:4" ht="15.75" customHeight="1">
      <c r="A16" s="164"/>
      <c r="B16" s="164" t="s">
        <v>23</v>
      </c>
      <c r="C16">
        <f t="shared" ref="C16:D16" si="9">C15+1</f>
        <v>11</v>
      </c>
      <c r="D16" s="1">
        <f t="shared" si="9"/>
        <v>13</v>
      </c>
    </row>
    <row r="17" spans="1:4" ht="15.75" customHeight="1">
      <c r="A17" s="164"/>
      <c r="B17" s="164" t="s">
        <v>24</v>
      </c>
      <c r="C17">
        <f t="shared" ref="C17:D17" si="10">C16+1</f>
        <v>12</v>
      </c>
      <c r="D17" s="1">
        <f t="shared" si="10"/>
        <v>14</v>
      </c>
    </row>
    <row r="18" spans="1:4" ht="15.75" customHeight="1">
      <c r="A18" s="164"/>
      <c r="B18" s="164" t="s">
        <v>25</v>
      </c>
      <c r="C18">
        <f t="shared" ref="C18:D18" si="11">C17+1</f>
        <v>13</v>
      </c>
      <c r="D18" s="1">
        <f t="shared" si="11"/>
        <v>15</v>
      </c>
    </row>
    <row r="19" spans="1:4" ht="15.75" customHeight="1">
      <c r="A19" s="164"/>
      <c r="B19" s="164" t="s">
        <v>26</v>
      </c>
      <c r="C19">
        <f t="shared" ref="C19:D19" si="12">C18+1</f>
        <v>14</v>
      </c>
      <c r="D19" s="1">
        <f t="shared" si="12"/>
        <v>16</v>
      </c>
    </row>
    <row r="20" spans="1:4" ht="15.75" customHeight="1">
      <c r="A20" s="164"/>
      <c r="B20" s="164" t="s">
        <v>27</v>
      </c>
      <c r="C20">
        <f t="shared" ref="C20:D20" si="13">C19+1</f>
        <v>15</v>
      </c>
      <c r="D20" s="1">
        <f t="shared" si="13"/>
        <v>17</v>
      </c>
    </row>
    <row r="21" spans="1:4" ht="15.75" customHeight="1">
      <c r="A21" s="164"/>
      <c r="B21" s="164" t="s">
        <v>28</v>
      </c>
      <c r="C21">
        <f t="shared" ref="C21:D21" si="14">C20+1</f>
        <v>16</v>
      </c>
      <c r="D21" s="1">
        <f t="shared" si="14"/>
        <v>18</v>
      </c>
    </row>
    <row r="22" spans="1:4" ht="15.75" customHeight="1">
      <c r="A22" s="183">
        <v>42139</v>
      </c>
      <c r="B22" s="164" t="s">
        <v>17</v>
      </c>
      <c r="C22">
        <f t="shared" ref="C22:D22" si="15">C21+1</f>
        <v>17</v>
      </c>
      <c r="D22" s="1">
        <f t="shared" si="15"/>
        <v>19</v>
      </c>
    </row>
    <row r="23" spans="1:4" ht="15.75" customHeight="1">
      <c r="A23" s="164"/>
      <c r="B23" s="164" t="s">
        <v>18</v>
      </c>
      <c r="C23">
        <f t="shared" ref="C23:D23" si="16">C22+1</f>
        <v>18</v>
      </c>
      <c r="D23" s="1">
        <f t="shared" si="16"/>
        <v>20</v>
      </c>
    </row>
    <row r="24" spans="1:4" ht="15.75" customHeight="1">
      <c r="A24" s="164"/>
      <c r="B24" s="164" t="s">
        <v>19</v>
      </c>
      <c r="C24">
        <f t="shared" ref="C24:D24" si="17">C23+1</f>
        <v>19</v>
      </c>
      <c r="D24" s="1">
        <f t="shared" si="17"/>
        <v>21</v>
      </c>
    </row>
    <row r="25" spans="1:4" ht="15.75" customHeight="1">
      <c r="A25" s="164"/>
      <c r="B25" s="164" t="s">
        <v>20</v>
      </c>
      <c r="C25">
        <f t="shared" ref="C25:D25" si="18">C24+1</f>
        <v>20</v>
      </c>
      <c r="D25" s="1">
        <f t="shared" si="18"/>
        <v>22</v>
      </c>
    </row>
    <row r="26" spans="1:4" ht="15.75" customHeight="1">
      <c r="A26" s="164"/>
      <c r="B26" s="164" t="s">
        <v>21</v>
      </c>
      <c r="C26">
        <f t="shared" ref="C26:D26" si="19">C25+1</f>
        <v>21</v>
      </c>
      <c r="D26" s="1">
        <f t="shared" si="19"/>
        <v>23</v>
      </c>
    </row>
    <row r="27" spans="1:4" ht="15.75" customHeight="1">
      <c r="A27" s="164"/>
      <c r="B27" s="164" t="s">
        <v>22</v>
      </c>
      <c r="C27">
        <f t="shared" ref="C27:D27" si="20">C26+1</f>
        <v>22</v>
      </c>
      <c r="D27" s="1">
        <f t="shared" si="20"/>
        <v>24</v>
      </c>
    </row>
    <row r="28" spans="1:4" ht="15.75" customHeight="1">
      <c r="A28" s="164"/>
      <c r="B28" s="164" t="s">
        <v>23</v>
      </c>
      <c r="C28">
        <f t="shared" ref="C28:D28" si="21">C27+1</f>
        <v>23</v>
      </c>
      <c r="D28" s="1">
        <f t="shared" si="21"/>
        <v>25</v>
      </c>
    </row>
    <row r="29" spans="1:4" ht="15.75" customHeight="1">
      <c r="A29" s="164"/>
      <c r="B29" s="164" t="s">
        <v>24</v>
      </c>
      <c r="C29">
        <f t="shared" ref="C29:D29" si="22">C28+1</f>
        <v>24</v>
      </c>
      <c r="D29" s="1">
        <f t="shared" si="22"/>
        <v>26</v>
      </c>
    </row>
    <row r="30" spans="1:4" ht="15.75" customHeight="1">
      <c r="A30" s="164"/>
      <c r="B30" s="164" t="s">
        <v>25</v>
      </c>
      <c r="C30">
        <f t="shared" ref="C30:D30" si="23">C29+1</f>
        <v>25</v>
      </c>
      <c r="D30" s="1">
        <f t="shared" si="23"/>
        <v>27</v>
      </c>
    </row>
    <row r="31" spans="1:4" ht="15.75" customHeight="1">
      <c r="A31" s="164"/>
      <c r="B31" s="164" t="s">
        <v>26</v>
      </c>
      <c r="C31">
        <f t="shared" ref="C31:D31" si="24">C30+1</f>
        <v>26</v>
      </c>
      <c r="D31" s="1">
        <f t="shared" si="24"/>
        <v>28</v>
      </c>
    </row>
    <row r="32" spans="1:4" ht="15.75" customHeight="1">
      <c r="A32" s="164"/>
      <c r="B32" s="164" t="s">
        <v>27</v>
      </c>
      <c r="C32">
        <f t="shared" ref="C32:D32" si="25">C31+1</f>
        <v>27</v>
      </c>
      <c r="D32" s="1">
        <f t="shared" si="25"/>
        <v>29</v>
      </c>
    </row>
    <row r="33" spans="1:4" ht="15.75" customHeight="1">
      <c r="A33" s="164"/>
      <c r="B33" s="164" t="s">
        <v>28</v>
      </c>
      <c r="C33">
        <f t="shared" ref="C33:D33" si="26">C32+1</f>
        <v>28</v>
      </c>
      <c r="D33" s="1">
        <f t="shared" si="26"/>
        <v>30</v>
      </c>
    </row>
    <row r="34" spans="1:4" ht="15.75" customHeight="1">
      <c r="B34" s="1" t="s">
        <v>1303</v>
      </c>
      <c r="C34" s="1">
        <v>1</v>
      </c>
      <c r="D34" s="1">
        <f>D33+1</f>
        <v>31</v>
      </c>
    </row>
    <row r="35" spans="1:4" ht="15.75" customHeight="1">
      <c r="B35" s="1" t="s">
        <v>821</v>
      </c>
      <c r="C35">
        <f t="shared" ref="C35:D35" si="27">C34+1</f>
        <v>2</v>
      </c>
      <c r="D35" s="1">
        <f t="shared" si="27"/>
        <v>32</v>
      </c>
    </row>
    <row r="36" spans="1:4" ht="15.75" customHeight="1">
      <c r="B36" s="1" t="s">
        <v>822</v>
      </c>
      <c r="C36">
        <f t="shared" ref="C36:D36" si="28">C35+1</f>
        <v>3</v>
      </c>
      <c r="D36" s="1">
        <f t="shared" si="28"/>
        <v>33</v>
      </c>
    </row>
    <row r="37" spans="1:4" ht="15.75" customHeight="1">
      <c r="B37" s="1" t="s">
        <v>823</v>
      </c>
      <c r="C37">
        <f t="shared" ref="C37:D37" si="29">C36+1</f>
        <v>4</v>
      </c>
      <c r="D37" s="1">
        <f t="shared" si="29"/>
        <v>34</v>
      </c>
    </row>
    <row r="38" spans="1:4" ht="15.75" customHeight="1">
      <c r="B38" s="1" t="s">
        <v>692</v>
      </c>
      <c r="C38" s="1">
        <v>29</v>
      </c>
      <c r="D38" s="1">
        <f t="shared" ref="D38:D39" si="30">D37+1</f>
        <v>35</v>
      </c>
    </row>
    <row r="39" spans="1:4" ht="12.75">
      <c r="B39" s="1" t="s">
        <v>1303</v>
      </c>
      <c r="C39" s="1">
        <v>1</v>
      </c>
      <c r="D39" s="1">
        <f t="shared" si="30"/>
        <v>36</v>
      </c>
    </row>
    <row r="40" spans="1:4" ht="12.75">
      <c r="D40"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7"/>
  <sheetViews>
    <sheetView workbookViewId="0"/>
  </sheetViews>
  <sheetFormatPr defaultColWidth="14.42578125" defaultRowHeight="15.75" customHeight="1"/>
  <cols>
    <col min="4" max="4" width="18.42578125" customWidth="1"/>
    <col min="5" max="5" width="15.5703125" customWidth="1"/>
    <col min="8" max="8" width="18.28515625" customWidth="1"/>
  </cols>
  <sheetData>
    <row r="1" spans="1:16" ht="15.75" customHeight="1">
      <c r="A1" s="1" t="s">
        <v>0</v>
      </c>
      <c r="B1" s="1" t="s">
        <v>1</v>
      </c>
      <c r="C1" s="1" t="s">
        <v>97</v>
      </c>
      <c r="D1" s="1" t="s">
        <v>2</v>
      </c>
      <c r="E1" s="1" t="s">
        <v>3</v>
      </c>
      <c r="H1" s="1" t="s">
        <v>6</v>
      </c>
      <c r="I1" s="1" t="s">
        <v>7</v>
      </c>
      <c r="J1" s="1" t="s">
        <v>8</v>
      </c>
      <c r="K1" s="1" t="s">
        <v>9</v>
      </c>
      <c r="L1" s="1" t="s">
        <v>10</v>
      </c>
      <c r="M1" s="2" t="s">
        <v>11</v>
      </c>
      <c r="O1" s="1" t="s">
        <v>13</v>
      </c>
      <c r="P1" s="1" t="s">
        <v>14</v>
      </c>
    </row>
    <row r="2" spans="1:16" ht="15.75" customHeight="1">
      <c r="E2" s="1"/>
      <c r="G2" s="1" t="s">
        <v>16</v>
      </c>
    </row>
    <row r="3" spans="1:16" ht="15.75" customHeight="1">
      <c r="A3" s="1">
        <v>1</v>
      </c>
      <c r="B3" s="1" t="s">
        <v>17</v>
      </c>
      <c r="C3" s="1">
        <v>1</v>
      </c>
      <c r="D3" s="1">
        <v>4</v>
      </c>
      <c r="E3" s="1" t="s">
        <v>17</v>
      </c>
      <c r="G3" s="1" t="s">
        <v>17</v>
      </c>
      <c r="H3" s="1">
        <v>13621</v>
      </c>
      <c r="J3" s="33">
        <v>373</v>
      </c>
      <c r="K3" s="14">
        <v>888</v>
      </c>
      <c r="L3" s="14">
        <v>183</v>
      </c>
      <c r="M3" s="97">
        <f t="shared" ref="M3:M23" si="0">340/J3*K3</f>
        <v>809.43699731903484</v>
      </c>
      <c r="N3" s="1" t="s">
        <v>257</v>
      </c>
      <c r="O3">
        <f>AVERAGE(M3:M5)</f>
        <v>821.95478118590063</v>
      </c>
    </row>
    <row r="4" spans="1:16" ht="15.75" customHeight="1">
      <c r="A4" s="1">
        <f t="shared" ref="A4:A5" si="1">A3+1</f>
        <v>2</v>
      </c>
      <c r="B4" s="1" t="s">
        <v>18</v>
      </c>
      <c r="C4" s="1">
        <v>1</v>
      </c>
      <c r="D4" s="1">
        <v>4</v>
      </c>
      <c r="E4" s="1" t="s">
        <v>18</v>
      </c>
      <c r="G4" s="1" t="s">
        <v>18</v>
      </c>
      <c r="H4" s="1">
        <v>13558</v>
      </c>
      <c r="J4" s="10">
        <v>374</v>
      </c>
      <c r="K4" s="1">
        <v>816</v>
      </c>
      <c r="L4" s="1">
        <v>182</v>
      </c>
      <c r="M4" s="98">
        <f t="shared" si="0"/>
        <v>741.81818181818176</v>
      </c>
      <c r="P4" s="1" t="s">
        <v>258</v>
      </c>
    </row>
    <row r="5" spans="1:16" ht="15.75" customHeight="1">
      <c r="A5" s="1">
        <f t="shared" si="1"/>
        <v>3</v>
      </c>
      <c r="B5" s="1" t="s">
        <v>19</v>
      </c>
      <c r="C5" s="1">
        <v>1</v>
      </c>
      <c r="D5" s="1">
        <v>4</v>
      </c>
      <c r="E5" s="1" t="s">
        <v>19</v>
      </c>
      <c r="G5" s="1" t="s">
        <v>19</v>
      </c>
      <c r="H5" s="1">
        <v>12905</v>
      </c>
      <c r="J5" s="41">
        <v>371</v>
      </c>
      <c r="K5" s="23">
        <v>998</v>
      </c>
      <c r="L5" s="23">
        <v>135</v>
      </c>
      <c r="M5" s="24">
        <f t="shared" si="0"/>
        <v>914.60916442048517</v>
      </c>
    </row>
    <row r="6" spans="1:16" ht="15.75" customHeight="1">
      <c r="A6" s="1">
        <v>4</v>
      </c>
      <c r="B6" s="1" t="s">
        <v>20</v>
      </c>
      <c r="C6" s="1">
        <v>2</v>
      </c>
      <c r="D6" s="1">
        <v>4</v>
      </c>
      <c r="E6" s="1" t="s">
        <v>20</v>
      </c>
      <c r="G6" s="1" t="s">
        <v>20</v>
      </c>
      <c r="H6" s="1">
        <v>13088</v>
      </c>
      <c r="J6" s="33">
        <v>365</v>
      </c>
      <c r="K6" s="14">
        <v>930</v>
      </c>
      <c r="L6" s="14">
        <v>137</v>
      </c>
      <c r="M6" s="97">
        <f t="shared" si="0"/>
        <v>866.30136986301363</v>
      </c>
      <c r="N6" s="1" t="s">
        <v>259</v>
      </c>
      <c r="O6">
        <f>AVERAGE(M6:M8)</f>
        <v>605.29093281148073</v>
      </c>
      <c r="P6" s="1" t="s">
        <v>260</v>
      </c>
    </row>
    <row r="7" spans="1:16" ht="15.75" customHeight="1">
      <c r="A7" s="1">
        <f t="shared" ref="A7:A18" si="2">A6+1</f>
        <v>5</v>
      </c>
      <c r="B7" s="1" t="s">
        <v>21</v>
      </c>
      <c r="C7" s="1">
        <v>2</v>
      </c>
      <c r="D7" s="1">
        <v>4</v>
      </c>
      <c r="E7" s="1" t="s">
        <v>21</v>
      </c>
      <c r="G7" s="1" t="s">
        <v>21</v>
      </c>
      <c r="H7" s="1">
        <v>13774</v>
      </c>
      <c r="J7" s="10">
        <v>405</v>
      </c>
      <c r="K7" s="1">
        <v>540</v>
      </c>
      <c r="L7" s="1">
        <v>283</v>
      </c>
      <c r="M7" s="98">
        <f t="shared" si="0"/>
        <v>453.33333333333331</v>
      </c>
    </row>
    <row r="8" spans="1:16" ht="15.75" customHeight="1">
      <c r="A8" s="1">
        <f t="shared" si="2"/>
        <v>6</v>
      </c>
      <c r="B8" s="1" t="s">
        <v>22</v>
      </c>
      <c r="C8" s="1">
        <v>2</v>
      </c>
      <c r="D8" s="1">
        <v>4</v>
      </c>
      <c r="E8" s="1" t="s">
        <v>22</v>
      </c>
      <c r="G8" s="1" t="s">
        <v>22</v>
      </c>
      <c r="H8" s="1">
        <v>13246</v>
      </c>
      <c r="J8" s="41">
        <v>420</v>
      </c>
      <c r="K8" s="23">
        <v>613</v>
      </c>
      <c r="L8" s="23">
        <v>246</v>
      </c>
      <c r="M8" s="24">
        <f t="shared" si="0"/>
        <v>496.23809523809524</v>
      </c>
    </row>
    <row r="9" spans="1:16" ht="15.75" customHeight="1">
      <c r="A9" s="1">
        <f t="shared" si="2"/>
        <v>7</v>
      </c>
      <c r="B9" s="1" t="s">
        <v>23</v>
      </c>
      <c r="C9" s="1">
        <v>3</v>
      </c>
      <c r="D9" s="1">
        <v>4</v>
      </c>
      <c r="E9" s="1" t="s">
        <v>23</v>
      </c>
      <c r="G9" s="1" t="s">
        <v>23</v>
      </c>
      <c r="H9" s="1">
        <v>12834</v>
      </c>
      <c r="J9" s="33">
        <v>358</v>
      </c>
      <c r="K9" s="14">
        <v>921</v>
      </c>
      <c r="L9" s="14">
        <v>133</v>
      </c>
      <c r="M9" s="97">
        <f t="shared" si="0"/>
        <v>874.69273743016754</v>
      </c>
      <c r="N9" s="1" t="s">
        <v>261</v>
      </c>
      <c r="O9">
        <f>AVERAGE(M9:M11)</f>
        <v>643.91742177809022</v>
      </c>
    </row>
    <row r="10" spans="1:16" ht="15.75" customHeight="1">
      <c r="A10" s="1">
        <f t="shared" si="2"/>
        <v>8</v>
      </c>
      <c r="B10" s="1" t="s">
        <v>24</v>
      </c>
      <c r="C10" s="1">
        <v>3</v>
      </c>
      <c r="D10" s="1">
        <v>4</v>
      </c>
      <c r="E10" s="1" t="s">
        <v>24</v>
      </c>
      <c r="G10" s="1" t="s">
        <v>24</v>
      </c>
      <c r="H10" s="1">
        <v>13027</v>
      </c>
      <c r="J10" s="10">
        <v>382</v>
      </c>
      <c r="K10" s="1">
        <v>735</v>
      </c>
      <c r="L10" s="1">
        <v>207</v>
      </c>
      <c r="M10" s="98">
        <f t="shared" si="0"/>
        <v>654.18848167539272</v>
      </c>
    </row>
    <row r="11" spans="1:16" ht="15.75" customHeight="1">
      <c r="A11" s="1">
        <f t="shared" si="2"/>
        <v>9</v>
      </c>
      <c r="B11" s="1" t="s">
        <v>25</v>
      </c>
      <c r="C11" s="1">
        <v>3</v>
      </c>
      <c r="D11" s="1">
        <v>4</v>
      </c>
      <c r="E11" s="1" t="s">
        <v>25</v>
      </c>
      <c r="G11" s="1" t="s">
        <v>25</v>
      </c>
      <c r="H11" s="1">
        <v>13441</v>
      </c>
      <c r="J11" s="41">
        <v>411</v>
      </c>
      <c r="K11" s="23">
        <v>487</v>
      </c>
      <c r="L11" s="23">
        <v>255</v>
      </c>
      <c r="M11" s="24">
        <f t="shared" si="0"/>
        <v>402.87104622871044</v>
      </c>
      <c r="P11" s="1" t="s">
        <v>262</v>
      </c>
    </row>
    <row r="12" spans="1:16" ht="15.75" customHeight="1">
      <c r="A12" s="1">
        <f t="shared" si="2"/>
        <v>10</v>
      </c>
      <c r="B12" s="1" t="s">
        <v>26</v>
      </c>
      <c r="C12" s="1">
        <v>4</v>
      </c>
      <c r="D12" s="1">
        <v>4</v>
      </c>
      <c r="E12" s="1" t="s">
        <v>27</v>
      </c>
      <c r="G12" s="1" t="s">
        <v>26</v>
      </c>
      <c r="H12" s="1">
        <v>12131</v>
      </c>
      <c r="J12" s="33">
        <v>343</v>
      </c>
      <c r="K12" s="14">
        <v>1333</v>
      </c>
      <c r="L12" s="14">
        <v>80</v>
      </c>
      <c r="M12" s="97">
        <f t="shared" si="0"/>
        <v>1321.3411078717202</v>
      </c>
      <c r="N12" s="1" t="s">
        <v>263</v>
      </c>
      <c r="O12">
        <f>AVERAGE(M12:M14)</f>
        <v>1303.3396395434854</v>
      </c>
    </row>
    <row r="13" spans="1:16" ht="15.75" customHeight="1">
      <c r="A13" s="1">
        <f t="shared" si="2"/>
        <v>11</v>
      </c>
      <c r="B13" s="1" t="s">
        <v>27</v>
      </c>
      <c r="C13" s="1">
        <v>4</v>
      </c>
      <c r="D13" s="1">
        <v>4</v>
      </c>
      <c r="E13" s="1" t="s">
        <v>28</v>
      </c>
      <c r="G13" s="1" t="s">
        <v>27</v>
      </c>
      <c r="H13" s="1">
        <v>11648</v>
      </c>
      <c r="J13" s="10">
        <v>346</v>
      </c>
      <c r="K13" s="1">
        <v>1294</v>
      </c>
      <c r="L13" s="1">
        <v>9</v>
      </c>
      <c r="M13" s="98">
        <f t="shared" si="0"/>
        <v>1271.5606936416184</v>
      </c>
    </row>
    <row r="14" spans="1:16" ht="15.75" customHeight="1">
      <c r="A14" s="1">
        <f t="shared" si="2"/>
        <v>12</v>
      </c>
      <c r="B14" s="1" t="s">
        <v>28</v>
      </c>
      <c r="C14" s="1">
        <v>4</v>
      </c>
      <c r="D14" s="1">
        <v>4</v>
      </c>
      <c r="E14" s="1" t="s">
        <v>29</v>
      </c>
      <c r="G14" s="1" t="s">
        <v>28</v>
      </c>
      <c r="H14" s="1">
        <v>11698</v>
      </c>
      <c r="J14" s="41">
        <v>333</v>
      </c>
      <c r="K14" s="23">
        <v>1290</v>
      </c>
      <c r="L14" s="23">
        <v>0</v>
      </c>
      <c r="M14" s="24">
        <f t="shared" si="0"/>
        <v>1317.1171171171172</v>
      </c>
    </row>
    <row r="15" spans="1:16" ht="15.75" customHeight="1">
      <c r="A15" s="1">
        <f t="shared" si="2"/>
        <v>13</v>
      </c>
      <c r="B15" s="1" t="s">
        <v>29</v>
      </c>
      <c r="C15" s="1">
        <v>5</v>
      </c>
      <c r="D15" s="1">
        <v>4</v>
      </c>
      <c r="E15" s="1" t="s">
        <v>30</v>
      </c>
      <c r="G15" s="1" t="s">
        <v>17</v>
      </c>
      <c r="H15" s="1">
        <v>12550</v>
      </c>
      <c r="J15" s="33">
        <v>354</v>
      </c>
      <c r="K15" s="14">
        <v>1023</v>
      </c>
      <c r="L15" s="14">
        <v>97</v>
      </c>
      <c r="M15" s="97">
        <f t="shared" si="0"/>
        <v>982.54237288135596</v>
      </c>
      <c r="N15" s="1" t="s">
        <v>264</v>
      </c>
      <c r="O15">
        <f>AVERAGE(M15:M17)</f>
        <v>953.00298424310733</v>
      </c>
    </row>
    <row r="16" spans="1:16" ht="15.75" customHeight="1">
      <c r="A16" s="1">
        <f t="shared" si="2"/>
        <v>14</v>
      </c>
      <c r="B16" s="1" t="s">
        <v>30</v>
      </c>
      <c r="C16" s="1">
        <v>5</v>
      </c>
      <c r="D16" s="1">
        <v>4</v>
      </c>
      <c r="E16" s="1" t="s">
        <v>31</v>
      </c>
      <c r="G16" s="1" t="s">
        <v>18</v>
      </c>
      <c r="H16" s="1">
        <v>12485</v>
      </c>
      <c r="J16" s="10">
        <v>356</v>
      </c>
      <c r="K16" s="1">
        <v>1010</v>
      </c>
      <c r="L16" s="1">
        <v>104</v>
      </c>
      <c r="M16" s="98">
        <f t="shared" si="0"/>
        <v>964.60674157303367</v>
      </c>
    </row>
    <row r="17" spans="1:16" ht="15.75" customHeight="1">
      <c r="A17" s="1">
        <f t="shared" si="2"/>
        <v>15</v>
      </c>
      <c r="B17" s="1" t="s">
        <v>31</v>
      </c>
      <c r="C17" s="1">
        <v>5</v>
      </c>
      <c r="D17" s="1">
        <v>4</v>
      </c>
      <c r="E17" s="1" t="s">
        <v>17</v>
      </c>
      <c r="G17" s="1" t="s">
        <v>19</v>
      </c>
      <c r="H17" s="1">
        <v>12202</v>
      </c>
      <c r="J17" s="41">
        <v>371</v>
      </c>
      <c r="K17" s="23">
        <v>995</v>
      </c>
      <c r="L17" s="23">
        <v>113</v>
      </c>
      <c r="M17" s="24">
        <f t="shared" si="0"/>
        <v>911.8598382749326</v>
      </c>
    </row>
    <row r="18" spans="1:16" ht="15.75" customHeight="1">
      <c r="A18" s="1">
        <f t="shared" si="2"/>
        <v>16</v>
      </c>
      <c r="B18" s="1" t="s">
        <v>32</v>
      </c>
      <c r="C18" s="1">
        <v>6</v>
      </c>
      <c r="D18" s="1">
        <v>4</v>
      </c>
      <c r="E18" s="1" t="s">
        <v>18</v>
      </c>
      <c r="G18" s="1" t="s">
        <v>20</v>
      </c>
      <c r="H18" s="1">
        <v>12056</v>
      </c>
      <c r="J18" s="33">
        <v>338</v>
      </c>
      <c r="K18" s="14">
        <v>1007</v>
      </c>
      <c r="L18" s="14">
        <v>97</v>
      </c>
      <c r="M18" s="97">
        <f t="shared" si="0"/>
        <v>1012.9585798816569</v>
      </c>
      <c r="N18" s="1" t="s">
        <v>265</v>
      </c>
      <c r="O18">
        <f>AVERAGE(M18:M20)</f>
        <v>854.6654080166121</v>
      </c>
      <c r="P18" s="1" t="s">
        <v>266</v>
      </c>
    </row>
    <row r="19" spans="1:16" ht="15.75" customHeight="1">
      <c r="A19" s="1">
        <v>17</v>
      </c>
      <c r="B19" s="1" t="s">
        <v>34</v>
      </c>
      <c r="C19" s="1">
        <v>6</v>
      </c>
      <c r="D19" s="1">
        <v>4</v>
      </c>
      <c r="E19" s="1" t="s">
        <v>19</v>
      </c>
      <c r="G19" s="1" t="s">
        <v>21</v>
      </c>
      <c r="H19" s="1">
        <v>12300</v>
      </c>
      <c r="J19" s="10">
        <v>343</v>
      </c>
      <c r="K19" s="1">
        <v>1006</v>
      </c>
      <c r="L19" s="1">
        <v>111</v>
      </c>
      <c r="M19" s="98">
        <f t="shared" si="0"/>
        <v>997.20116618075804</v>
      </c>
      <c r="P19" s="1" t="s">
        <v>267</v>
      </c>
    </row>
    <row r="20" spans="1:16" ht="15.75" customHeight="1">
      <c r="A20" s="1">
        <v>18</v>
      </c>
      <c r="B20" s="1" t="s">
        <v>36</v>
      </c>
      <c r="C20" s="1">
        <v>6</v>
      </c>
      <c r="D20" s="1">
        <v>4</v>
      </c>
      <c r="E20" s="1" t="s">
        <v>20</v>
      </c>
      <c r="G20" s="1" t="s">
        <v>22</v>
      </c>
      <c r="H20" s="1">
        <v>11253</v>
      </c>
      <c r="I20" s="1">
        <v>14.5</v>
      </c>
      <c r="J20" s="41">
        <v>477</v>
      </c>
      <c r="K20" s="23">
        <v>777</v>
      </c>
      <c r="L20" s="23">
        <v>283</v>
      </c>
      <c r="M20" s="24">
        <f t="shared" si="0"/>
        <v>553.8364779874214</v>
      </c>
      <c r="P20" s="1" t="s">
        <v>268</v>
      </c>
    </row>
    <row r="21" spans="1:16" ht="15.75" customHeight="1">
      <c r="A21" s="1">
        <v>19</v>
      </c>
      <c r="B21" s="1" t="s">
        <v>38</v>
      </c>
      <c r="C21" s="1">
        <v>7</v>
      </c>
      <c r="D21" s="1">
        <v>4</v>
      </c>
      <c r="E21" s="1" t="s">
        <v>21</v>
      </c>
      <c r="G21" s="1" t="s">
        <v>23</v>
      </c>
      <c r="H21" s="1">
        <v>11643</v>
      </c>
      <c r="J21" s="33">
        <v>327</v>
      </c>
      <c r="K21" s="14">
        <v>1245</v>
      </c>
      <c r="L21" s="14">
        <v>36</v>
      </c>
      <c r="M21" s="97">
        <f t="shared" si="0"/>
        <v>1294.4954128440365</v>
      </c>
      <c r="N21" s="1" t="s">
        <v>269</v>
      </c>
      <c r="O21">
        <f>AVERAGE(M21:M23)</f>
        <v>1270.4665159774852</v>
      </c>
    </row>
    <row r="22" spans="1:16" ht="15.75" customHeight="1">
      <c r="A22" s="1">
        <v>20</v>
      </c>
      <c r="B22" s="1" t="s">
        <v>40</v>
      </c>
      <c r="C22" s="1">
        <v>7</v>
      </c>
      <c r="D22" s="1">
        <v>4</v>
      </c>
      <c r="E22" s="1" t="s">
        <v>22</v>
      </c>
      <c r="G22" s="1" t="s">
        <v>24</v>
      </c>
      <c r="H22" s="1">
        <v>11583</v>
      </c>
      <c r="J22" s="10">
        <v>345</v>
      </c>
      <c r="K22" s="1">
        <v>1233</v>
      </c>
      <c r="L22" s="1">
        <v>45</v>
      </c>
      <c r="M22" s="98">
        <f t="shared" si="0"/>
        <v>1215.1304347826087</v>
      </c>
    </row>
    <row r="23" spans="1:16" ht="15.75" customHeight="1">
      <c r="A23" s="1">
        <v>21</v>
      </c>
      <c r="B23" s="1" t="s">
        <v>42</v>
      </c>
      <c r="C23" s="1">
        <v>7</v>
      </c>
      <c r="D23" s="1">
        <v>4</v>
      </c>
      <c r="E23" s="1" t="s">
        <v>23</v>
      </c>
      <c r="G23" s="1" t="s">
        <v>25</v>
      </c>
      <c r="H23" s="1">
        <v>11567</v>
      </c>
      <c r="J23" s="41">
        <v>327</v>
      </c>
      <c r="K23" s="23">
        <v>1252</v>
      </c>
      <c r="L23" s="23">
        <v>25</v>
      </c>
      <c r="M23" s="24">
        <f t="shared" si="0"/>
        <v>1301.7737003058103</v>
      </c>
    </row>
    <row r="26" spans="1:16" ht="15.75" customHeight="1">
      <c r="C26" s="1"/>
      <c r="D26" s="1" t="s">
        <v>44</v>
      </c>
      <c r="E26" s="1">
        <v>0.3</v>
      </c>
    </row>
    <row r="27" spans="1:16" ht="15.75" customHeight="1">
      <c r="D27" s="1" t="s">
        <v>45</v>
      </c>
      <c r="E27" s="1" t="s">
        <v>46</v>
      </c>
      <c r="F27" s="1" t="s">
        <v>47</v>
      </c>
      <c r="H27" s="1" t="s">
        <v>48</v>
      </c>
    </row>
    <row r="28" spans="1:16" ht="15.75" customHeight="1">
      <c r="C28" s="1"/>
      <c r="D28" s="1" t="s">
        <v>49</v>
      </c>
      <c r="E28" s="1" t="s">
        <v>50</v>
      </c>
      <c r="F28" s="185" t="s">
        <v>270</v>
      </c>
      <c r="G28" s="186"/>
    </row>
    <row r="29" spans="1:16" ht="15.75" customHeight="1">
      <c r="D29" s="1" t="s">
        <v>52</v>
      </c>
      <c r="E29" s="1">
        <v>210</v>
      </c>
      <c r="F29">
        <f>E29/$E$26-E29</f>
        <v>490</v>
      </c>
      <c r="H29">
        <f>E29+F29</f>
        <v>700</v>
      </c>
      <c r="I29" s="1"/>
    </row>
    <row r="30" spans="1:16" ht="15.75" customHeight="1">
      <c r="D30" s="1" t="s">
        <v>99</v>
      </c>
      <c r="E30" s="1" t="s">
        <v>50</v>
      </c>
      <c r="F30" s="185" t="s">
        <v>271</v>
      </c>
      <c r="G30" s="186"/>
      <c r="I30" s="1"/>
    </row>
    <row r="31" spans="1:16" ht="15.75" customHeight="1">
      <c r="D31" s="1" t="s">
        <v>52</v>
      </c>
      <c r="E31" s="1">
        <v>210</v>
      </c>
      <c r="F31">
        <f>E31/$E$26-E31</f>
        <v>490</v>
      </c>
      <c r="H31">
        <f>E31+F31</f>
        <v>700</v>
      </c>
      <c r="I31" s="1"/>
      <c r="J31" s="1"/>
    </row>
    <row r="32" spans="1:16" ht="15.75" customHeight="1">
      <c r="D32" s="1" t="s">
        <v>101</v>
      </c>
      <c r="E32" s="1" t="s">
        <v>50</v>
      </c>
      <c r="F32" s="185" t="s">
        <v>98</v>
      </c>
      <c r="G32" s="186"/>
      <c r="I32" s="1"/>
    </row>
    <row r="33" spans="1:9" ht="15.75" customHeight="1">
      <c r="C33" s="1"/>
      <c r="D33" s="1" t="s">
        <v>52</v>
      </c>
      <c r="E33" s="1">
        <v>210</v>
      </c>
      <c r="F33">
        <f>E33/$E$26-E33</f>
        <v>490</v>
      </c>
      <c r="H33">
        <f>E33+F33</f>
        <v>700</v>
      </c>
      <c r="I33" s="1"/>
    </row>
    <row r="34" spans="1:9" ht="15.75" customHeight="1">
      <c r="C34" s="1"/>
      <c r="D34" s="1" t="s">
        <v>103</v>
      </c>
      <c r="E34" s="1" t="s">
        <v>50</v>
      </c>
      <c r="F34" s="185" t="s">
        <v>272</v>
      </c>
      <c r="G34" s="186"/>
    </row>
    <row r="35" spans="1:9" ht="15.75" customHeight="1">
      <c r="C35" s="1"/>
      <c r="D35" s="1" t="s">
        <v>52</v>
      </c>
      <c r="E35" s="1">
        <v>210</v>
      </c>
      <c r="F35">
        <f>E35/$E$26-E35</f>
        <v>490</v>
      </c>
      <c r="H35">
        <f>E35+F35</f>
        <v>700</v>
      </c>
    </row>
    <row r="36" spans="1:9" ht="15.75" customHeight="1">
      <c r="D36" s="1" t="s">
        <v>105</v>
      </c>
      <c r="E36" s="1" t="s">
        <v>50</v>
      </c>
      <c r="F36" s="185" t="s">
        <v>273</v>
      </c>
      <c r="G36" s="186"/>
    </row>
    <row r="37" spans="1:9" ht="15.75" customHeight="1">
      <c r="D37" s="1" t="s">
        <v>52</v>
      </c>
      <c r="E37" s="1">
        <v>210</v>
      </c>
      <c r="F37">
        <f>E37/$E$26-E37</f>
        <v>490</v>
      </c>
      <c r="H37">
        <f>E37+F37</f>
        <v>700</v>
      </c>
    </row>
    <row r="38" spans="1:9" ht="15.75" customHeight="1">
      <c r="D38" s="1" t="s">
        <v>274</v>
      </c>
      <c r="E38" s="1" t="s">
        <v>50</v>
      </c>
      <c r="F38" s="185" t="s">
        <v>275</v>
      </c>
      <c r="G38" s="186"/>
    </row>
    <row r="39" spans="1:9" ht="12.75">
      <c r="D39" s="1" t="s">
        <v>52</v>
      </c>
      <c r="E39" s="1">
        <v>210</v>
      </c>
      <c r="F39">
        <f>E39/$E$26-E39</f>
        <v>490</v>
      </c>
      <c r="H39">
        <f>E39+F39</f>
        <v>700</v>
      </c>
    </row>
    <row r="40" spans="1:9" ht="12.75">
      <c r="D40" s="1" t="s">
        <v>276</v>
      </c>
      <c r="E40" s="1" t="s">
        <v>50</v>
      </c>
      <c r="F40" s="185" t="s">
        <v>277</v>
      </c>
      <c r="G40" s="186"/>
    </row>
    <row r="41" spans="1:9" ht="12.75">
      <c r="D41" s="1" t="s">
        <v>52</v>
      </c>
      <c r="E41" s="1">
        <v>210</v>
      </c>
      <c r="F41">
        <f>E41/$E$26-E41</f>
        <v>490</v>
      </c>
      <c r="H41">
        <f>E41+F41</f>
        <v>700</v>
      </c>
    </row>
    <row r="43" spans="1:9" ht="12.75">
      <c r="D43" s="1" t="s">
        <v>53</v>
      </c>
      <c r="E43">
        <f t="shared" ref="E43:F43" si="3">E29+E31+E33+E35+E37+E39+E41</f>
        <v>1470</v>
      </c>
      <c r="F43">
        <f t="shared" si="3"/>
        <v>3430</v>
      </c>
    </row>
    <row r="46" spans="1:9" ht="12.75">
      <c r="A46" s="1" t="s">
        <v>58</v>
      </c>
    </row>
    <row r="47" spans="1:9" ht="12.75">
      <c r="A47" s="1" t="s">
        <v>278</v>
      </c>
    </row>
    <row r="48" spans="1:9" ht="12.75">
      <c r="A48" s="1" t="s">
        <v>279</v>
      </c>
    </row>
    <row r="49" spans="1:1" ht="12.75">
      <c r="A49" s="1" t="s">
        <v>92</v>
      </c>
    </row>
    <row r="50" spans="1:1" ht="12.75">
      <c r="A50" s="1" t="s">
        <v>280</v>
      </c>
    </row>
    <row r="51" spans="1:1" ht="12.75">
      <c r="A51" s="1" t="s">
        <v>68</v>
      </c>
    </row>
    <row r="52" spans="1:1" ht="12.75">
      <c r="A52" s="1" t="s">
        <v>69</v>
      </c>
    </row>
    <row r="53" spans="1:1" ht="12.75">
      <c r="A53" s="1" t="s">
        <v>281</v>
      </c>
    </row>
    <row r="55" spans="1:1" ht="12.75">
      <c r="A55" s="1" t="s">
        <v>73</v>
      </c>
    </row>
    <row r="56" spans="1:1" ht="12.75">
      <c r="A56" s="1" t="s">
        <v>282</v>
      </c>
    </row>
    <row r="57" spans="1:1" ht="12.75">
      <c r="A57" s="1" t="s">
        <v>283</v>
      </c>
    </row>
    <row r="58" spans="1:1" ht="12.75">
      <c r="A58" s="1" t="s">
        <v>284</v>
      </c>
    </row>
    <row r="59" spans="1:1" ht="12.75">
      <c r="A59" s="1" t="s">
        <v>285</v>
      </c>
    </row>
    <row r="60" spans="1:1" ht="12.75">
      <c r="A60" s="1" t="s">
        <v>286</v>
      </c>
    </row>
    <row r="61" spans="1:1" ht="12.75">
      <c r="A61" s="1" t="s">
        <v>287</v>
      </c>
    </row>
    <row r="62" spans="1:1" ht="12.75">
      <c r="A62" s="1" t="s">
        <v>288</v>
      </c>
    </row>
    <row r="64" spans="1:1" ht="12.75">
      <c r="A64" s="1" t="s">
        <v>76</v>
      </c>
    </row>
    <row r="65" spans="1:1" ht="12.75">
      <c r="A65" s="1" t="s">
        <v>289</v>
      </c>
    </row>
    <row r="66" spans="1:1" ht="12.75">
      <c r="A66" s="1" t="s">
        <v>117</v>
      </c>
    </row>
    <row r="67" spans="1:1" ht="12.75">
      <c r="A67" s="1" t="s">
        <v>290</v>
      </c>
    </row>
  </sheetData>
  <mergeCells count="7">
    <mergeCell ref="F38:G38"/>
    <mergeCell ref="F40:G40"/>
    <mergeCell ref="F28:G28"/>
    <mergeCell ref="F30:G30"/>
    <mergeCell ref="F32:G32"/>
    <mergeCell ref="F34:G34"/>
    <mergeCell ref="F36:G3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4"/>
  <sheetViews>
    <sheetView workbookViewId="0"/>
  </sheetViews>
  <sheetFormatPr defaultColWidth="14.42578125" defaultRowHeight="15.75" customHeight="1"/>
  <cols>
    <col min="3" max="3" width="13.28515625" customWidth="1"/>
    <col min="4" max="4" width="23.85546875" customWidth="1"/>
    <col min="5" max="5" width="18.42578125" customWidth="1"/>
    <col min="6" max="6" width="15.5703125" customWidth="1"/>
    <col min="7" max="7" width="19.85546875" customWidth="1"/>
  </cols>
  <sheetData>
    <row r="1" spans="1:24" ht="15.75" customHeight="1">
      <c r="A1" s="1" t="s">
        <v>0</v>
      </c>
      <c r="B1" s="1" t="s">
        <v>1</v>
      </c>
      <c r="C1" s="1" t="s">
        <v>97</v>
      </c>
      <c r="D1" s="1" t="s">
        <v>291</v>
      </c>
      <c r="E1" s="1" t="s">
        <v>292</v>
      </c>
      <c r="F1" s="1" t="s">
        <v>3</v>
      </c>
      <c r="I1" s="1" t="s">
        <v>6</v>
      </c>
      <c r="J1" s="1" t="s">
        <v>7</v>
      </c>
      <c r="K1" s="1" t="s">
        <v>8</v>
      </c>
      <c r="L1" s="1" t="s">
        <v>9</v>
      </c>
      <c r="M1" s="1" t="s">
        <v>10</v>
      </c>
      <c r="N1" s="2" t="s">
        <v>11</v>
      </c>
      <c r="P1" s="1" t="s">
        <v>13</v>
      </c>
      <c r="Q1" s="1" t="s">
        <v>6</v>
      </c>
      <c r="R1" s="1" t="s">
        <v>7</v>
      </c>
      <c r="S1" s="1" t="s">
        <v>8</v>
      </c>
      <c r="T1" s="1" t="s">
        <v>9</v>
      </c>
      <c r="U1" s="1" t="s">
        <v>10</v>
      </c>
      <c r="V1" s="2" t="s">
        <v>11</v>
      </c>
      <c r="X1" s="1" t="s">
        <v>13</v>
      </c>
    </row>
    <row r="2" spans="1:24" ht="15.75" customHeight="1">
      <c r="F2" s="1"/>
      <c r="H2" s="1" t="s">
        <v>16</v>
      </c>
      <c r="N2" s="99"/>
      <c r="V2" s="99"/>
    </row>
    <row r="3" spans="1:24" ht="15.75" customHeight="1">
      <c r="A3" s="1">
        <v>1</v>
      </c>
      <c r="B3" s="1" t="s">
        <v>17</v>
      </c>
      <c r="C3" s="1">
        <v>1</v>
      </c>
      <c r="D3" s="1">
        <v>4</v>
      </c>
      <c r="E3" s="1">
        <v>25</v>
      </c>
      <c r="F3" s="1" t="s">
        <v>17</v>
      </c>
      <c r="G3" s="9"/>
      <c r="H3" s="1" t="s">
        <v>17</v>
      </c>
      <c r="I3" s="1">
        <v>13594</v>
      </c>
      <c r="K3" s="1">
        <v>496</v>
      </c>
      <c r="L3" s="1">
        <v>649</v>
      </c>
      <c r="M3" s="1">
        <v>236</v>
      </c>
      <c r="N3">
        <f t="shared" ref="N3:N22" si="0">340/K3*L3</f>
        <v>444.87903225806446</v>
      </c>
      <c r="P3">
        <f>AVERAGE(N3:N6)</f>
        <v>601.75774542954434</v>
      </c>
    </row>
    <row r="4" spans="1:24" ht="15.75" customHeight="1">
      <c r="A4" s="1">
        <f t="shared" ref="A4:A5" si="1">A3+1</f>
        <v>2</v>
      </c>
      <c r="B4" s="1" t="s">
        <v>18</v>
      </c>
      <c r="C4" s="1">
        <v>1</v>
      </c>
      <c r="D4" s="1">
        <v>4</v>
      </c>
      <c r="E4" s="1">
        <v>25</v>
      </c>
      <c r="F4" s="1" t="s">
        <v>18</v>
      </c>
      <c r="G4" s="9"/>
      <c r="H4" s="1" t="s">
        <v>18</v>
      </c>
      <c r="I4" s="1">
        <v>12971</v>
      </c>
      <c r="K4" s="1">
        <v>358</v>
      </c>
      <c r="L4" s="1">
        <v>979</v>
      </c>
      <c r="M4" s="1">
        <v>131</v>
      </c>
      <c r="N4">
        <f t="shared" si="0"/>
        <v>929.7765363128492</v>
      </c>
    </row>
    <row r="5" spans="1:24" ht="15.75" customHeight="1">
      <c r="A5" s="1">
        <f t="shared" si="1"/>
        <v>3</v>
      </c>
      <c r="B5" s="1" t="s">
        <v>19</v>
      </c>
      <c r="C5" s="1">
        <v>1</v>
      </c>
      <c r="D5" s="1">
        <v>4</v>
      </c>
      <c r="E5" s="1">
        <v>25</v>
      </c>
      <c r="F5" s="1" t="s">
        <v>19</v>
      </c>
      <c r="G5" s="9"/>
      <c r="H5" s="1" t="s">
        <v>19</v>
      </c>
      <c r="I5" s="1">
        <v>12978</v>
      </c>
      <c r="J5" s="1">
        <v>3.4</v>
      </c>
      <c r="K5" s="1">
        <v>389</v>
      </c>
      <c r="L5" s="1">
        <v>722</v>
      </c>
      <c r="M5" s="1">
        <v>190</v>
      </c>
      <c r="N5">
        <f t="shared" si="0"/>
        <v>631.05398457583544</v>
      </c>
      <c r="Q5" s="1"/>
      <c r="S5" s="1"/>
      <c r="T5" s="1"/>
      <c r="U5" s="1"/>
    </row>
    <row r="6" spans="1:24" ht="15.75" customHeight="1">
      <c r="A6" s="1">
        <v>4</v>
      </c>
      <c r="B6" s="1" t="s">
        <v>20</v>
      </c>
      <c r="C6" s="1">
        <v>1</v>
      </c>
      <c r="D6" s="1">
        <v>4</v>
      </c>
      <c r="E6" s="1">
        <v>25</v>
      </c>
      <c r="F6" s="1" t="s">
        <v>293</v>
      </c>
      <c r="G6" s="9"/>
      <c r="H6" s="1" t="s">
        <v>24</v>
      </c>
      <c r="I6" s="1">
        <v>11895</v>
      </c>
      <c r="J6" s="1">
        <v>49</v>
      </c>
      <c r="K6" s="1">
        <v>560</v>
      </c>
      <c r="L6" s="1">
        <v>661</v>
      </c>
      <c r="M6" s="1">
        <v>182</v>
      </c>
      <c r="N6">
        <f t="shared" si="0"/>
        <v>401.32142857142856</v>
      </c>
    </row>
    <row r="7" spans="1:24" ht="15.75" customHeight="1">
      <c r="A7" s="1">
        <f t="shared" ref="A7:A18" si="2">A6+1</f>
        <v>5</v>
      </c>
      <c r="B7" s="1" t="s">
        <v>21</v>
      </c>
      <c r="C7" s="1">
        <v>1</v>
      </c>
      <c r="D7" s="1">
        <v>21</v>
      </c>
      <c r="E7" s="1">
        <v>25</v>
      </c>
      <c r="F7" s="1" t="s">
        <v>20</v>
      </c>
      <c r="G7" s="9"/>
      <c r="H7" s="1" t="s">
        <v>25</v>
      </c>
      <c r="I7" s="1">
        <v>12265</v>
      </c>
      <c r="J7" s="1"/>
      <c r="K7" s="1">
        <v>363</v>
      </c>
      <c r="L7" s="1">
        <v>937</v>
      </c>
      <c r="M7" s="1">
        <v>115</v>
      </c>
      <c r="N7">
        <f t="shared" si="0"/>
        <v>877.63085399449039</v>
      </c>
      <c r="P7">
        <f>AVERAGE(N7:N10)</f>
        <v>953.78192335955805</v>
      </c>
    </row>
    <row r="8" spans="1:24" ht="15.75" customHeight="1">
      <c r="A8" s="1">
        <f t="shared" si="2"/>
        <v>6</v>
      </c>
      <c r="B8" s="1" t="s">
        <v>22</v>
      </c>
      <c r="C8" s="1">
        <v>1</v>
      </c>
      <c r="D8" s="1">
        <v>21</v>
      </c>
      <c r="E8" s="1">
        <v>25</v>
      </c>
      <c r="F8" s="1" t="s">
        <v>21</v>
      </c>
      <c r="G8" s="9"/>
      <c r="H8" s="1" t="s">
        <v>26</v>
      </c>
      <c r="I8" s="1">
        <v>12168</v>
      </c>
      <c r="K8" s="1">
        <v>339</v>
      </c>
      <c r="L8" s="1">
        <v>983</v>
      </c>
      <c r="M8" s="1">
        <v>103</v>
      </c>
      <c r="N8">
        <f t="shared" si="0"/>
        <v>985.8997050147492</v>
      </c>
    </row>
    <row r="9" spans="1:24" ht="15.75" customHeight="1">
      <c r="A9" s="1">
        <f t="shared" si="2"/>
        <v>7</v>
      </c>
      <c r="B9" s="1" t="s">
        <v>23</v>
      </c>
      <c r="C9" s="1">
        <v>1</v>
      </c>
      <c r="D9" s="1">
        <v>21</v>
      </c>
      <c r="E9" s="1">
        <v>25</v>
      </c>
      <c r="F9" s="1" t="s">
        <v>22</v>
      </c>
      <c r="G9" s="9"/>
      <c r="H9" s="1" t="s">
        <v>27</v>
      </c>
      <c r="I9" s="1">
        <v>12158</v>
      </c>
      <c r="K9" s="1">
        <v>339</v>
      </c>
      <c r="L9" s="1">
        <v>945</v>
      </c>
      <c r="M9" s="1">
        <v>118</v>
      </c>
      <c r="N9">
        <f t="shared" si="0"/>
        <v>947.78761061946898</v>
      </c>
    </row>
    <row r="10" spans="1:24" ht="15.75" customHeight="1">
      <c r="A10" s="1">
        <f t="shared" si="2"/>
        <v>8</v>
      </c>
      <c r="B10" s="1" t="s">
        <v>24</v>
      </c>
      <c r="C10" s="1">
        <v>1</v>
      </c>
      <c r="D10" s="1">
        <v>21</v>
      </c>
      <c r="E10" s="1">
        <v>25</v>
      </c>
      <c r="F10" s="1" t="s">
        <v>293</v>
      </c>
      <c r="G10" s="9"/>
      <c r="H10" s="1" t="s">
        <v>28</v>
      </c>
      <c r="I10" s="1">
        <v>12022</v>
      </c>
      <c r="K10" s="1">
        <v>336</v>
      </c>
      <c r="L10" s="1">
        <v>992</v>
      </c>
      <c r="M10" s="1">
        <v>88</v>
      </c>
      <c r="N10">
        <f t="shared" si="0"/>
        <v>1003.8095238095237</v>
      </c>
      <c r="Q10" s="1"/>
      <c r="S10" s="1"/>
      <c r="T10" s="1"/>
      <c r="U10" s="1"/>
    </row>
    <row r="11" spans="1:24" ht="15.75" customHeight="1">
      <c r="A11" s="1">
        <f t="shared" si="2"/>
        <v>9</v>
      </c>
      <c r="B11" s="1" t="s">
        <v>25</v>
      </c>
      <c r="C11" s="1">
        <v>1</v>
      </c>
      <c r="D11" s="1">
        <v>27</v>
      </c>
      <c r="E11" s="1">
        <v>25</v>
      </c>
      <c r="F11" s="1" t="s">
        <v>23</v>
      </c>
      <c r="G11" s="9"/>
      <c r="H11" s="1" t="s">
        <v>17</v>
      </c>
      <c r="I11" s="1">
        <v>11828</v>
      </c>
      <c r="K11" s="1">
        <v>321</v>
      </c>
      <c r="L11" s="1">
        <v>1100</v>
      </c>
      <c r="M11" s="1">
        <v>61</v>
      </c>
      <c r="N11">
        <f t="shared" si="0"/>
        <v>1165.1090342679126</v>
      </c>
      <c r="P11">
        <f>AVERAGE(N11:N14)</f>
        <v>1023.8339682617476</v>
      </c>
      <c r="Q11" s="1"/>
      <c r="S11" s="1"/>
      <c r="T11" s="1"/>
      <c r="U11" s="1"/>
    </row>
    <row r="12" spans="1:24" ht="15.75" customHeight="1">
      <c r="A12" s="1">
        <f t="shared" si="2"/>
        <v>10</v>
      </c>
      <c r="B12" s="1" t="s">
        <v>26</v>
      </c>
      <c r="C12" s="1">
        <v>1</v>
      </c>
      <c r="D12" s="1">
        <v>27</v>
      </c>
      <c r="E12" s="1">
        <v>25</v>
      </c>
      <c r="F12" s="1" t="s">
        <v>24</v>
      </c>
      <c r="G12" s="9"/>
      <c r="H12" s="1" t="s">
        <v>18</v>
      </c>
      <c r="I12" s="1">
        <v>12109</v>
      </c>
      <c r="J12" s="1"/>
      <c r="K12" s="1">
        <v>333</v>
      </c>
      <c r="L12" s="1">
        <v>975</v>
      </c>
      <c r="M12" s="1">
        <v>114</v>
      </c>
      <c r="N12">
        <f t="shared" si="0"/>
        <v>995.49549549549556</v>
      </c>
      <c r="Q12" s="1"/>
      <c r="S12" s="1"/>
      <c r="T12" s="1"/>
      <c r="U12" s="1"/>
    </row>
    <row r="13" spans="1:24" ht="15.75" customHeight="1">
      <c r="A13" s="1">
        <f t="shared" si="2"/>
        <v>11</v>
      </c>
      <c r="B13" s="1" t="s">
        <v>27</v>
      </c>
      <c r="C13" s="1">
        <v>1</v>
      </c>
      <c r="D13" s="1">
        <v>27</v>
      </c>
      <c r="E13" s="1">
        <v>25</v>
      </c>
      <c r="F13" s="1" t="s">
        <v>25</v>
      </c>
      <c r="G13" s="9"/>
      <c r="H13" s="1" t="s">
        <v>19</v>
      </c>
      <c r="I13" s="1">
        <v>11661</v>
      </c>
      <c r="K13" s="1">
        <v>335</v>
      </c>
      <c r="L13" s="1">
        <v>987</v>
      </c>
      <c r="M13" s="1">
        <v>99</v>
      </c>
      <c r="N13">
        <f t="shared" si="0"/>
        <v>1001.7313432835821</v>
      </c>
    </row>
    <row r="14" spans="1:24" ht="15.75" customHeight="1">
      <c r="A14" s="1">
        <f t="shared" si="2"/>
        <v>12</v>
      </c>
      <c r="B14" s="1" t="s">
        <v>28</v>
      </c>
      <c r="C14" s="1">
        <v>1</v>
      </c>
      <c r="D14" s="1">
        <v>27</v>
      </c>
      <c r="E14" s="1">
        <v>25</v>
      </c>
      <c r="F14" s="1" t="s">
        <v>293</v>
      </c>
      <c r="G14" s="9"/>
      <c r="H14" s="1" t="s">
        <v>20</v>
      </c>
      <c r="I14" s="1">
        <v>12197</v>
      </c>
      <c r="K14" s="1">
        <v>340</v>
      </c>
      <c r="L14" s="1">
        <v>933</v>
      </c>
      <c r="M14" s="1">
        <v>125</v>
      </c>
      <c r="N14">
        <f t="shared" si="0"/>
        <v>933</v>
      </c>
    </row>
    <row r="15" spans="1:24" ht="15.75" customHeight="1">
      <c r="A15" s="1">
        <f t="shared" si="2"/>
        <v>13</v>
      </c>
      <c r="B15" s="1" t="s">
        <v>29</v>
      </c>
      <c r="C15" s="1">
        <v>1</v>
      </c>
      <c r="D15" s="1">
        <v>37</v>
      </c>
      <c r="E15" s="1">
        <v>25</v>
      </c>
      <c r="F15" s="1" t="s">
        <v>27</v>
      </c>
      <c r="G15" s="9"/>
      <c r="H15" s="1" t="s">
        <v>21</v>
      </c>
      <c r="I15" s="1">
        <v>11466</v>
      </c>
      <c r="K15" s="1">
        <v>316</v>
      </c>
      <c r="L15" s="1">
        <v>1213</v>
      </c>
      <c r="M15" s="1">
        <v>28</v>
      </c>
      <c r="N15">
        <f t="shared" si="0"/>
        <v>1305.126582278481</v>
      </c>
      <c r="P15">
        <f>AVERAGE(N15:N18)</f>
        <v>1237.8457195061842</v>
      </c>
    </row>
    <row r="16" spans="1:24" ht="15.75" customHeight="1">
      <c r="A16" s="1">
        <f t="shared" si="2"/>
        <v>14</v>
      </c>
      <c r="B16" s="1" t="s">
        <v>30</v>
      </c>
      <c r="C16" s="1">
        <v>1</v>
      </c>
      <c r="D16" s="1">
        <v>37</v>
      </c>
      <c r="E16" s="1">
        <v>25</v>
      </c>
      <c r="F16" s="1" t="s">
        <v>28</v>
      </c>
      <c r="G16" s="9"/>
      <c r="H16" s="1" t="s">
        <v>22</v>
      </c>
      <c r="I16" s="1">
        <v>11562</v>
      </c>
      <c r="K16" s="1">
        <v>318</v>
      </c>
      <c r="L16" s="1">
        <v>1163</v>
      </c>
      <c r="M16" s="1">
        <v>51</v>
      </c>
      <c r="N16">
        <f t="shared" si="0"/>
        <v>1243.4591194968552</v>
      </c>
    </row>
    <row r="17" spans="1:14" ht="15.75" customHeight="1">
      <c r="A17" s="1">
        <f t="shared" si="2"/>
        <v>15</v>
      </c>
      <c r="B17" s="1" t="s">
        <v>31</v>
      </c>
      <c r="C17" s="1">
        <v>1</v>
      </c>
      <c r="D17" s="1">
        <v>37</v>
      </c>
      <c r="E17" s="1">
        <v>25</v>
      </c>
      <c r="F17" s="1" t="s">
        <v>29</v>
      </c>
      <c r="H17" s="1" t="s">
        <v>23</v>
      </c>
      <c r="I17" s="1">
        <v>11481</v>
      </c>
      <c r="K17" s="1">
        <v>317</v>
      </c>
      <c r="L17" s="1">
        <v>1163</v>
      </c>
      <c r="M17" s="1">
        <v>35</v>
      </c>
      <c r="N17">
        <f t="shared" si="0"/>
        <v>1247.3817034700314</v>
      </c>
    </row>
    <row r="18" spans="1:14" ht="15.75" customHeight="1">
      <c r="A18" s="1">
        <f t="shared" si="2"/>
        <v>16</v>
      </c>
      <c r="B18" s="1" t="s">
        <v>32</v>
      </c>
      <c r="C18" s="1">
        <v>1</v>
      </c>
      <c r="D18" s="1">
        <v>37</v>
      </c>
      <c r="E18" s="1">
        <v>25</v>
      </c>
      <c r="F18" s="1" t="s">
        <v>293</v>
      </c>
      <c r="H18" s="1" t="s">
        <v>24</v>
      </c>
      <c r="I18" s="1">
        <v>11047</v>
      </c>
      <c r="J18" s="1">
        <v>6.1</v>
      </c>
      <c r="K18" s="1">
        <v>349</v>
      </c>
      <c r="L18" s="1">
        <v>1186</v>
      </c>
      <c r="M18" s="1">
        <v>27</v>
      </c>
      <c r="N18">
        <f t="shared" si="0"/>
        <v>1155.4154727793698</v>
      </c>
    </row>
    <row r="19" spans="1:14" ht="15.75" customHeight="1">
      <c r="A19" s="1">
        <v>17</v>
      </c>
      <c r="B19" s="1" t="s">
        <v>34</v>
      </c>
      <c r="C19" s="1">
        <v>2</v>
      </c>
      <c r="D19" s="1">
        <v>4</v>
      </c>
      <c r="E19" s="1">
        <v>15</v>
      </c>
      <c r="F19" s="1" t="s">
        <v>294</v>
      </c>
      <c r="G19" s="1" t="s">
        <v>295</v>
      </c>
      <c r="H19" s="1" t="s">
        <v>20</v>
      </c>
      <c r="I19" s="1">
        <v>13654</v>
      </c>
      <c r="K19" s="1">
        <v>493</v>
      </c>
      <c r="L19" s="1">
        <v>411</v>
      </c>
      <c r="M19" s="1">
        <v>314</v>
      </c>
      <c r="N19">
        <f t="shared" si="0"/>
        <v>283.44827586206901</v>
      </c>
    </row>
    <row r="20" spans="1:14" ht="15.75" customHeight="1">
      <c r="A20" s="1">
        <v>18</v>
      </c>
      <c r="B20" s="1" t="s">
        <v>36</v>
      </c>
      <c r="C20" s="1">
        <v>2</v>
      </c>
      <c r="D20" s="1">
        <v>4</v>
      </c>
      <c r="E20" s="1">
        <v>15</v>
      </c>
      <c r="F20" s="1" t="s">
        <v>296</v>
      </c>
      <c r="H20" s="1" t="s">
        <v>21</v>
      </c>
      <c r="I20" s="1">
        <v>12401</v>
      </c>
      <c r="K20" s="1">
        <v>321</v>
      </c>
      <c r="L20" s="1">
        <v>921</v>
      </c>
      <c r="M20" s="1">
        <v>111</v>
      </c>
      <c r="N20">
        <f t="shared" si="0"/>
        <v>975.51401869158872</v>
      </c>
    </row>
    <row r="21" spans="1:14" ht="15.75" customHeight="1">
      <c r="A21" s="1">
        <v>19</v>
      </c>
      <c r="B21" s="1" t="s">
        <v>38</v>
      </c>
      <c r="C21" s="1">
        <v>2</v>
      </c>
      <c r="D21" s="1">
        <v>4</v>
      </c>
      <c r="E21" s="1">
        <v>15</v>
      </c>
      <c r="F21" s="1" t="s">
        <v>297</v>
      </c>
      <c r="H21" s="1" t="s">
        <v>22</v>
      </c>
      <c r="I21" s="1">
        <v>13527</v>
      </c>
      <c r="K21" s="1">
        <v>397</v>
      </c>
      <c r="L21" s="1">
        <v>585</v>
      </c>
      <c r="M21" s="1">
        <v>257</v>
      </c>
      <c r="N21">
        <f t="shared" si="0"/>
        <v>501.00755667506292</v>
      </c>
    </row>
    <row r="22" spans="1:14" ht="15.75" customHeight="1">
      <c r="A22" s="1">
        <v>20</v>
      </c>
      <c r="B22" s="1" t="s">
        <v>40</v>
      </c>
      <c r="C22" s="1">
        <v>2</v>
      </c>
      <c r="D22" s="1">
        <v>4</v>
      </c>
      <c r="E22" s="1">
        <v>15</v>
      </c>
      <c r="F22" s="1" t="s">
        <v>298</v>
      </c>
      <c r="G22" s="1" t="s">
        <v>299</v>
      </c>
      <c r="H22" s="1" t="s">
        <v>23</v>
      </c>
      <c r="I22" s="1">
        <v>12698</v>
      </c>
      <c r="K22" s="1">
        <v>429</v>
      </c>
      <c r="L22" s="1">
        <v>698</v>
      </c>
      <c r="M22" s="1">
        <v>190</v>
      </c>
      <c r="N22">
        <f t="shared" si="0"/>
        <v>553.19347319347321</v>
      </c>
    </row>
    <row r="23" spans="1:14" ht="15.75" customHeight="1">
      <c r="C23" s="1"/>
      <c r="D23" s="1"/>
      <c r="E23" s="1"/>
    </row>
    <row r="24" spans="1:14" ht="15.75" customHeight="1">
      <c r="C24" s="1"/>
      <c r="D24" s="1" t="s">
        <v>44</v>
      </c>
      <c r="E24" s="1">
        <v>0.3</v>
      </c>
      <c r="I24">
        <f>16*200</f>
        <v>3200</v>
      </c>
    </row>
    <row r="25" spans="1:14" ht="15.75" customHeight="1">
      <c r="C25" s="1"/>
      <c r="D25" s="1" t="s">
        <v>45</v>
      </c>
      <c r="E25" s="1" t="s">
        <v>46</v>
      </c>
      <c r="F25" s="1" t="s">
        <v>47</v>
      </c>
      <c r="G25" s="1" t="s">
        <v>300</v>
      </c>
    </row>
    <row r="26" spans="1:14" ht="15.75" customHeight="1">
      <c r="C26" s="1"/>
      <c r="D26" s="1" t="s">
        <v>301</v>
      </c>
      <c r="E26" s="1" t="s">
        <v>50</v>
      </c>
      <c r="F26" s="1"/>
    </row>
    <row r="27" spans="1:14" ht="15.75" customHeight="1">
      <c r="C27" s="1"/>
      <c r="D27" s="1" t="s">
        <v>52</v>
      </c>
      <c r="E27" s="1">
        <v>1100</v>
      </c>
      <c r="F27">
        <f>E27/$E$24-E27</f>
        <v>2566.666666666667</v>
      </c>
      <c r="G27">
        <f>F27+E27</f>
        <v>3666.666666666667</v>
      </c>
      <c r="I27" s="1"/>
    </row>
    <row r="28" spans="1:14" ht="15.75" customHeight="1">
      <c r="C28" s="1"/>
      <c r="D28" s="1" t="s">
        <v>99</v>
      </c>
      <c r="E28" s="1" t="s">
        <v>302</v>
      </c>
      <c r="F28" s="1"/>
    </row>
    <row r="29" spans="1:14" ht="15.75" customHeight="1">
      <c r="C29" s="1"/>
      <c r="D29" s="1" t="s">
        <v>52</v>
      </c>
      <c r="E29" s="1">
        <v>450</v>
      </c>
      <c r="F29">
        <f>E29/($E$24*2)-E29</f>
        <v>300</v>
      </c>
      <c r="G29">
        <f>F29+E29</f>
        <v>750</v>
      </c>
      <c r="I29" s="1"/>
    </row>
    <row r="30" spans="1:14" ht="15.75" customHeight="1">
      <c r="F30" s="1"/>
      <c r="G30" s="1"/>
    </row>
    <row r="31" spans="1:14" ht="15.75" customHeight="1">
      <c r="E31" s="1"/>
      <c r="F31" s="1"/>
      <c r="G31" s="1"/>
    </row>
    <row r="32" spans="1:14" ht="15.75" customHeight="1">
      <c r="G32" s="1" t="s">
        <v>303</v>
      </c>
    </row>
    <row r="33" spans="1:14" ht="15.75" customHeight="1">
      <c r="A33" s="1" t="s">
        <v>304</v>
      </c>
      <c r="G33" s="1" t="s">
        <v>18</v>
      </c>
    </row>
    <row r="34" spans="1:14" ht="15.75" customHeight="1">
      <c r="A34" s="1" t="s">
        <v>305</v>
      </c>
      <c r="G34" s="1" t="s">
        <v>20</v>
      </c>
    </row>
    <row r="35" spans="1:14" ht="15.75" customHeight="1">
      <c r="A35" s="1" t="s">
        <v>306</v>
      </c>
      <c r="G35" s="1" t="s">
        <v>17</v>
      </c>
      <c r="H35" s="1"/>
      <c r="I35" s="1"/>
    </row>
    <row r="36" spans="1:14" ht="15.75" customHeight="1">
      <c r="A36" s="1" t="s">
        <v>307</v>
      </c>
      <c r="G36" s="1" t="s">
        <v>29</v>
      </c>
    </row>
    <row r="37" spans="1:14" ht="15.75" customHeight="1">
      <c r="A37" s="1" t="s">
        <v>308</v>
      </c>
      <c r="B37" s="100"/>
      <c r="G37" s="1" t="s">
        <v>19</v>
      </c>
    </row>
    <row r="38" spans="1:14" ht="15.75" customHeight="1">
      <c r="A38" s="1" t="s">
        <v>309</v>
      </c>
      <c r="G38" s="1" t="s">
        <v>21</v>
      </c>
      <c r="J38" s="1"/>
      <c r="K38" s="1"/>
      <c r="L38" s="1"/>
    </row>
    <row r="39" spans="1:14" ht="12.75">
      <c r="A39" s="1" t="s">
        <v>310</v>
      </c>
      <c r="B39" s="1"/>
      <c r="G39" s="1" t="s">
        <v>25</v>
      </c>
    </row>
    <row r="40" spans="1:14" ht="12.75">
      <c r="A40" s="1"/>
      <c r="G40" s="1" t="s">
        <v>22</v>
      </c>
    </row>
    <row r="41" spans="1:14" ht="12.75">
      <c r="A41" s="1" t="s">
        <v>311</v>
      </c>
      <c r="B41" s="1"/>
      <c r="G41" s="1" t="s">
        <v>23</v>
      </c>
      <c r="K41" s="1"/>
      <c r="L41" s="1"/>
      <c r="M41" s="1"/>
    </row>
    <row r="42" spans="1:14" ht="12.75">
      <c r="A42" s="1" t="s">
        <v>312</v>
      </c>
      <c r="G42" s="1" t="s">
        <v>24</v>
      </c>
      <c r="L42" s="1"/>
      <c r="M42" s="1"/>
    </row>
    <row r="43" spans="1:14" ht="12.75">
      <c r="A43" s="1" t="s">
        <v>313</v>
      </c>
      <c r="G43" s="1" t="s">
        <v>26</v>
      </c>
      <c r="L43" s="1"/>
      <c r="N43" s="1"/>
    </row>
    <row r="44" spans="1:14" ht="12.75">
      <c r="A44" s="1" t="s">
        <v>314</v>
      </c>
      <c r="G44" s="1" t="s">
        <v>27</v>
      </c>
    </row>
    <row r="45" spans="1:14" ht="12.75">
      <c r="A45" s="1" t="s">
        <v>315</v>
      </c>
      <c r="G45" s="1" t="s">
        <v>30</v>
      </c>
      <c r="N45" s="1"/>
    </row>
    <row r="46" spans="1:14" ht="12.75">
      <c r="A46" s="1" t="s">
        <v>316</v>
      </c>
      <c r="G46" s="1" t="s">
        <v>28</v>
      </c>
    </row>
    <row r="47" spans="1:14" ht="12.75">
      <c r="G47" s="1" t="s">
        <v>31</v>
      </c>
      <c r="N47" s="1"/>
    </row>
    <row r="48" spans="1:14" ht="12.75">
      <c r="A48" s="1" t="s">
        <v>317</v>
      </c>
      <c r="G48" s="1" t="s">
        <v>32</v>
      </c>
    </row>
    <row r="49" spans="1:7" ht="12.75">
      <c r="A49" s="1" t="s">
        <v>318</v>
      </c>
      <c r="G49" s="1" t="s">
        <v>34</v>
      </c>
    </row>
    <row r="50" spans="1:7" ht="12.75">
      <c r="A50" s="1" t="s">
        <v>319</v>
      </c>
      <c r="G50" s="1" t="s">
        <v>36</v>
      </c>
    </row>
    <row r="51" spans="1:7" ht="12.75">
      <c r="A51" s="1" t="s">
        <v>320</v>
      </c>
      <c r="G51" s="1" t="s">
        <v>38</v>
      </c>
    </row>
    <row r="52" spans="1:7" ht="12.75">
      <c r="A52" s="1" t="s">
        <v>321</v>
      </c>
      <c r="G52" s="1" t="s">
        <v>40</v>
      </c>
    </row>
    <row r="53" spans="1:7" ht="12.75">
      <c r="A53" s="1"/>
    </row>
    <row r="54" spans="1:7" ht="12.75">
      <c r="A54" s="1"/>
    </row>
    <row r="55" spans="1:7" ht="12.75">
      <c r="A55" s="1"/>
    </row>
    <row r="56" spans="1:7" ht="12.75">
      <c r="A56" s="1"/>
    </row>
    <row r="57" spans="1:7" ht="12.75">
      <c r="A57" s="1"/>
    </row>
    <row r="58" spans="1:7" ht="12.75">
      <c r="A58" s="1"/>
    </row>
    <row r="59" spans="1:7" ht="12.75">
      <c r="A59" s="1"/>
    </row>
    <row r="60" spans="1:7" ht="12.75">
      <c r="A60" s="1"/>
    </row>
    <row r="61" spans="1:7" ht="12.75">
      <c r="A61" s="1"/>
    </row>
    <row r="62" spans="1:7" ht="12.75">
      <c r="A62" s="1"/>
    </row>
    <row r="63" spans="1:7" ht="12.75">
      <c r="A63" s="1"/>
    </row>
    <row r="64" spans="1:7" ht="12.75">
      <c r="A64"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0"/>
  <sheetViews>
    <sheetView workbookViewId="0"/>
  </sheetViews>
  <sheetFormatPr defaultColWidth="14.42578125" defaultRowHeight="15.75" customHeight="1"/>
  <cols>
    <col min="3" max="3" width="13.28515625" customWidth="1"/>
    <col min="4" max="4" width="23.85546875" customWidth="1"/>
    <col min="5" max="5" width="18.42578125" customWidth="1"/>
    <col min="6" max="6" width="15.5703125" customWidth="1"/>
    <col min="7" max="7" width="19.85546875" customWidth="1"/>
  </cols>
  <sheetData>
    <row r="1" spans="1:24" ht="15.75" customHeight="1">
      <c r="A1" s="1" t="s">
        <v>322</v>
      </c>
      <c r="B1" s="1" t="s">
        <v>1</v>
      </c>
      <c r="C1" s="1" t="s">
        <v>97</v>
      </c>
      <c r="D1" s="1" t="s">
        <v>323</v>
      </c>
      <c r="E1" s="1"/>
      <c r="F1" s="1" t="s">
        <v>3</v>
      </c>
      <c r="I1" s="1" t="s">
        <v>6</v>
      </c>
      <c r="J1" s="1" t="s">
        <v>7</v>
      </c>
      <c r="K1" s="1" t="s">
        <v>8</v>
      </c>
      <c r="L1" s="1" t="s">
        <v>9</v>
      </c>
      <c r="M1" s="1" t="s">
        <v>10</v>
      </c>
      <c r="N1" s="2" t="s">
        <v>11</v>
      </c>
      <c r="P1" s="1" t="s">
        <v>13</v>
      </c>
      <c r="Q1" s="1" t="s">
        <v>6</v>
      </c>
      <c r="R1" s="1" t="s">
        <v>7</v>
      </c>
      <c r="S1" s="1" t="s">
        <v>8</v>
      </c>
      <c r="T1" s="1" t="s">
        <v>9</v>
      </c>
      <c r="U1" s="1" t="s">
        <v>10</v>
      </c>
      <c r="V1" s="2" t="s">
        <v>11</v>
      </c>
      <c r="X1" s="1" t="s">
        <v>13</v>
      </c>
    </row>
    <row r="2" spans="1:24" ht="15.75" customHeight="1">
      <c r="F2" s="1"/>
      <c r="H2" s="1" t="s">
        <v>16</v>
      </c>
      <c r="N2" s="99"/>
      <c r="V2" s="99"/>
    </row>
    <row r="3" spans="1:24" ht="15.75" customHeight="1">
      <c r="A3" s="1">
        <v>1</v>
      </c>
      <c r="B3" s="1" t="s">
        <v>17</v>
      </c>
      <c r="C3" s="1">
        <v>1</v>
      </c>
      <c r="D3" s="1" t="s">
        <v>324</v>
      </c>
      <c r="E3" s="1"/>
      <c r="F3" s="1" t="s">
        <v>17</v>
      </c>
      <c r="G3" s="9"/>
      <c r="H3" s="1"/>
      <c r="I3" s="1">
        <v>12983</v>
      </c>
      <c r="K3" s="1">
        <v>349</v>
      </c>
      <c r="L3" s="1">
        <v>1184</v>
      </c>
      <c r="M3" s="1">
        <v>89</v>
      </c>
      <c r="N3">
        <f t="shared" ref="N3:N18" si="0">340/K3*L3</f>
        <v>1153.4670487106018</v>
      </c>
    </row>
    <row r="4" spans="1:24" ht="15.75" customHeight="1">
      <c r="A4" s="1">
        <f t="shared" ref="A4:A5" si="1">A3+1</f>
        <v>2</v>
      </c>
      <c r="B4" s="1" t="s">
        <v>18</v>
      </c>
      <c r="C4" s="1">
        <v>1</v>
      </c>
      <c r="D4" s="1" t="s">
        <v>324</v>
      </c>
      <c r="E4" s="1"/>
      <c r="F4" s="1" t="s">
        <v>18</v>
      </c>
      <c r="G4" s="9"/>
      <c r="H4" s="1"/>
      <c r="I4" s="1">
        <v>12998</v>
      </c>
      <c r="K4" s="1">
        <v>349</v>
      </c>
      <c r="L4" s="1">
        <v>1100</v>
      </c>
      <c r="M4" s="1">
        <v>110</v>
      </c>
      <c r="N4">
        <f t="shared" si="0"/>
        <v>1071.6332378223497</v>
      </c>
    </row>
    <row r="5" spans="1:24" ht="15.75" customHeight="1">
      <c r="A5" s="1">
        <f t="shared" si="1"/>
        <v>3</v>
      </c>
      <c r="B5" s="1" t="s">
        <v>19</v>
      </c>
      <c r="C5" s="1">
        <v>1</v>
      </c>
      <c r="D5" s="1" t="s">
        <v>324</v>
      </c>
      <c r="E5" s="1"/>
      <c r="F5" s="1" t="s">
        <v>19</v>
      </c>
      <c r="G5" s="9"/>
      <c r="H5" s="1"/>
      <c r="I5" s="1">
        <v>12370</v>
      </c>
      <c r="J5" s="1">
        <v>4</v>
      </c>
      <c r="K5" s="1">
        <v>348</v>
      </c>
      <c r="L5" s="1">
        <v>1082</v>
      </c>
      <c r="M5" s="1">
        <v>87</v>
      </c>
      <c r="N5">
        <f t="shared" si="0"/>
        <v>1057.1264367816093</v>
      </c>
      <c r="Q5" s="1"/>
      <c r="S5" s="1"/>
      <c r="T5" s="1"/>
      <c r="U5" s="1"/>
    </row>
    <row r="6" spans="1:24" ht="15.75" customHeight="1">
      <c r="A6" s="1">
        <v>4</v>
      </c>
      <c r="B6" s="1" t="s">
        <v>20</v>
      </c>
      <c r="C6" s="1">
        <v>1</v>
      </c>
      <c r="D6" s="1" t="s">
        <v>324</v>
      </c>
      <c r="E6" s="1"/>
      <c r="F6" s="1" t="s">
        <v>293</v>
      </c>
      <c r="G6" s="9"/>
      <c r="H6" s="1"/>
      <c r="I6" s="1">
        <v>12775</v>
      </c>
      <c r="K6" s="1">
        <v>345</v>
      </c>
      <c r="L6" s="1">
        <v>1027</v>
      </c>
      <c r="M6" s="1">
        <v>120</v>
      </c>
      <c r="N6">
        <f t="shared" si="0"/>
        <v>1012.1159420289855</v>
      </c>
    </row>
    <row r="7" spans="1:24" ht="15.75" customHeight="1">
      <c r="A7" s="1">
        <f t="shared" ref="A7:A18" si="2">A6+1</f>
        <v>5</v>
      </c>
      <c r="B7" s="1" t="s">
        <v>21</v>
      </c>
      <c r="C7" s="1">
        <v>1</v>
      </c>
      <c r="D7" s="1" t="s">
        <v>325</v>
      </c>
      <c r="E7" s="1"/>
      <c r="F7" s="1" t="s">
        <v>20</v>
      </c>
      <c r="G7" s="9"/>
      <c r="H7" s="1"/>
      <c r="I7" s="1">
        <v>12749</v>
      </c>
      <c r="K7" s="1">
        <v>341</v>
      </c>
      <c r="L7" s="1">
        <v>974</v>
      </c>
      <c r="M7" s="1">
        <v>119</v>
      </c>
      <c r="N7">
        <f t="shared" si="0"/>
        <v>971.14369501466274</v>
      </c>
    </row>
    <row r="8" spans="1:24" ht="15.75" customHeight="1">
      <c r="A8" s="1">
        <f t="shared" si="2"/>
        <v>6</v>
      </c>
      <c r="B8" s="1" t="s">
        <v>22</v>
      </c>
      <c r="C8" s="1">
        <v>1</v>
      </c>
      <c r="D8" s="1" t="s">
        <v>325</v>
      </c>
      <c r="E8" s="1"/>
      <c r="F8" s="1" t="s">
        <v>21</v>
      </c>
      <c r="G8" s="9"/>
      <c r="H8" s="1"/>
      <c r="I8" s="1">
        <v>12458</v>
      </c>
      <c r="K8" s="1">
        <v>334</v>
      </c>
      <c r="L8" s="1">
        <v>1073</v>
      </c>
      <c r="M8" s="1">
        <v>87</v>
      </c>
      <c r="N8">
        <f t="shared" si="0"/>
        <v>1092.2754491017965</v>
      </c>
    </row>
    <row r="9" spans="1:24" ht="15.75" customHeight="1">
      <c r="A9" s="1">
        <f t="shared" si="2"/>
        <v>7</v>
      </c>
      <c r="B9" s="1" t="s">
        <v>23</v>
      </c>
      <c r="C9" s="1">
        <v>1</v>
      </c>
      <c r="D9" s="1" t="s">
        <v>325</v>
      </c>
      <c r="E9" s="1"/>
      <c r="F9" s="1" t="s">
        <v>22</v>
      </c>
      <c r="G9" s="9"/>
      <c r="H9" s="1"/>
      <c r="I9" s="1">
        <v>12322</v>
      </c>
      <c r="K9" s="1">
        <v>338</v>
      </c>
      <c r="L9" s="1">
        <v>1064</v>
      </c>
      <c r="M9" s="1">
        <v>97</v>
      </c>
      <c r="N9">
        <f t="shared" si="0"/>
        <v>1070.2958579881656</v>
      </c>
    </row>
    <row r="10" spans="1:24" ht="15.75" customHeight="1">
      <c r="A10" s="1">
        <f t="shared" si="2"/>
        <v>8</v>
      </c>
      <c r="B10" s="1" t="s">
        <v>24</v>
      </c>
      <c r="C10" s="1">
        <v>1</v>
      </c>
      <c r="D10" s="1" t="s">
        <v>325</v>
      </c>
      <c r="E10" s="1"/>
      <c r="F10" s="1" t="s">
        <v>293</v>
      </c>
      <c r="G10" s="9"/>
      <c r="H10" s="1"/>
      <c r="I10" s="1">
        <v>12053</v>
      </c>
      <c r="J10" s="1">
        <v>12</v>
      </c>
      <c r="K10" s="1">
        <v>384</v>
      </c>
      <c r="L10" s="1">
        <v>1008</v>
      </c>
      <c r="M10" s="1">
        <v>106</v>
      </c>
      <c r="N10">
        <f t="shared" si="0"/>
        <v>892.5</v>
      </c>
      <c r="Q10" s="1"/>
      <c r="S10" s="1"/>
      <c r="T10" s="1"/>
      <c r="U10" s="1"/>
    </row>
    <row r="11" spans="1:24" ht="15.75" customHeight="1">
      <c r="A11" s="1">
        <f t="shared" si="2"/>
        <v>9</v>
      </c>
      <c r="B11" s="1" t="s">
        <v>25</v>
      </c>
      <c r="C11" s="1">
        <v>1</v>
      </c>
      <c r="D11" s="1" t="s">
        <v>326</v>
      </c>
      <c r="E11" s="1"/>
      <c r="F11" s="1" t="s">
        <v>23</v>
      </c>
      <c r="G11" s="9"/>
      <c r="H11" s="1"/>
      <c r="I11" s="1">
        <v>11465</v>
      </c>
      <c r="J11" s="1"/>
      <c r="K11" s="1">
        <v>325</v>
      </c>
      <c r="L11" s="1">
        <v>1276</v>
      </c>
      <c r="M11" s="1">
        <v>14</v>
      </c>
      <c r="N11">
        <f t="shared" si="0"/>
        <v>1334.8923076923077</v>
      </c>
      <c r="Q11" s="1"/>
      <c r="S11" s="1"/>
      <c r="T11" s="1"/>
      <c r="U11" s="1"/>
    </row>
    <row r="12" spans="1:24" ht="15.75" customHeight="1">
      <c r="A12" s="1">
        <f t="shared" si="2"/>
        <v>10</v>
      </c>
      <c r="B12" s="1" t="s">
        <v>26</v>
      </c>
      <c r="C12" s="1">
        <v>1</v>
      </c>
      <c r="D12" s="1" t="s">
        <v>326</v>
      </c>
      <c r="E12" s="1"/>
      <c r="F12" s="1" t="s">
        <v>24</v>
      </c>
      <c r="G12" s="9"/>
      <c r="H12" s="1"/>
      <c r="I12" s="1">
        <v>11552</v>
      </c>
      <c r="J12" s="1">
        <v>8.6</v>
      </c>
      <c r="K12" s="1">
        <v>345</v>
      </c>
      <c r="L12" s="1">
        <v>1284</v>
      </c>
      <c r="M12" s="1">
        <v>22</v>
      </c>
      <c r="N12">
        <f t="shared" si="0"/>
        <v>1265.3913043478262</v>
      </c>
      <c r="Q12" s="1"/>
      <c r="S12" s="1"/>
      <c r="T12" s="1"/>
      <c r="U12" s="1"/>
    </row>
    <row r="13" spans="1:24" ht="15.75" customHeight="1">
      <c r="A13" s="1">
        <f t="shared" si="2"/>
        <v>11</v>
      </c>
      <c r="B13" s="1" t="s">
        <v>27</v>
      </c>
      <c r="C13" s="1">
        <v>1</v>
      </c>
      <c r="D13" s="1" t="s">
        <v>326</v>
      </c>
      <c r="E13" s="1"/>
      <c r="F13" s="1" t="s">
        <v>25</v>
      </c>
      <c r="G13" s="9"/>
      <c r="H13" s="1"/>
      <c r="I13" s="1">
        <v>11477</v>
      </c>
      <c r="K13" s="1">
        <v>315</v>
      </c>
      <c r="L13" s="1">
        <v>1263</v>
      </c>
      <c r="M13" s="1">
        <v>16</v>
      </c>
      <c r="N13">
        <f t="shared" si="0"/>
        <v>1363.2380952380952</v>
      </c>
    </row>
    <row r="14" spans="1:24" ht="15.75" customHeight="1">
      <c r="A14" s="1">
        <f t="shared" si="2"/>
        <v>12</v>
      </c>
      <c r="B14" s="1" t="s">
        <v>28</v>
      </c>
      <c r="C14" s="1">
        <v>1</v>
      </c>
      <c r="D14" s="1" t="s">
        <v>326</v>
      </c>
      <c r="E14" s="1"/>
      <c r="F14" s="1" t="s">
        <v>293</v>
      </c>
      <c r="G14" s="9"/>
      <c r="H14" s="1"/>
      <c r="I14" s="1">
        <v>11400</v>
      </c>
      <c r="K14" s="1">
        <v>310</v>
      </c>
      <c r="L14" s="1">
        <v>1258</v>
      </c>
      <c r="M14" s="1">
        <v>14</v>
      </c>
      <c r="N14">
        <f t="shared" si="0"/>
        <v>1379.7419354838707</v>
      </c>
    </row>
    <row r="15" spans="1:24" ht="15.75" customHeight="1">
      <c r="A15" s="1">
        <f t="shared" si="2"/>
        <v>13</v>
      </c>
      <c r="B15" s="1" t="s">
        <v>29</v>
      </c>
      <c r="C15" s="1">
        <v>1</v>
      </c>
      <c r="D15" s="1" t="s">
        <v>327</v>
      </c>
      <c r="E15" s="1"/>
      <c r="F15" s="1" t="s">
        <v>27</v>
      </c>
      <c r="G15" s="9"/>
      <c r="H15" s="1"/>
      <c r="I15" s="1">
        <v>12062</v>
      </c>
      <c r="K15" s="1">
        <v>324</v>
      </c>
      <c r="L15" s="1">
        <v>1034</v>
      </c>
      <c r="M15" s="1">
        <v>86</v>
      </c>
      <c r="N15">
        <f t="shared" si="0"/>
        <v>1085.0617283950617</v>
      </c>
    </row>
    <row r="16" spans="1:24" ht="15.75" customHeight="1">
      <c r="A16" s="1">
        <f t="shared" si="2"/>
        <v>14</v>
      </c>
      <c r="B16" s="1" t="s">
        <v>30</v>
      </c>
      <c r="C16" s="1">
        <v>1</v>
      </c>
      <c r="D16" s="1" t="s">
        <v>327</v>
      </c>
      <c r="E16" s="1"/>
      <c r="F16" s="1" t="s">
        <v>28</v>
      </c>
      <c r="G16" s="9"/>
      <c r="H16" s="1"/>
      <c r="I16" s="1">
        <v>12385</v>
      </c>
      <c r="K16" s="1">
        <v>332</v>
      </c>
      <c r="L16" s="1">
        <v>940</v>
      </c>
      <c r="M16" s="1">
        <v>130</v>
      </c>
      <c r="N16">
        <f t="shared" si="0"/>
        <v>962.65060240963862</v>
      </c>
    </row>
    <row r="17" spans="1:14" ht="15.75" customHeight="1">
      <c r="A17" s="1">
        <f t="shared" si="2"/>
        <v>15</v>
      </c>
      <c r="B17" s="1" t="s">
        <v>31</v>
      </c>
      <c r="C17" s="1">
        <v>1</v>
      </c>
      <c r="D17" s="1" t="s">
        <v>327</v>
      </c>
      <c r="F17" s="1" t="s">
        <v>29</v>
      </c>
      <c r="I17" s="1">
        <v>11449</v>
      </c>
      <c r="K17" s="1">
        <v>316</v>
      </c>
      <c r="L17" s="1">
        <v>1195</v>
      </c>
      <c r="M17" s="1">
        <v>34</v>
      </c>
      <c r="N17">
        <f t="shared" si="0"/>
        <v>1285.7594936708861</v>
      </c>
    </row>
    <row r="18" spans="1:14" ht="15.75" customHeight="1">
      <c r="A18" s="1">
        <f t="shared" si="2"/>
        <v>16</v>
      </c>
      <c r="B18" s="1" t="s">
        <v>32</v>
      </c>
      <c r="C18" s="1">
        <v>1</v>
      </c>
      <c r="D18" s="1" t="s">
        <v>327</v>
      </c>
      <c r="F18" s="1" t="s">
        <v>293</v>
      </c>
      <c r="I18" s="1">
        <v>12445</v>
      </c>
      <c r="K18" s="1">
        <v>340</v>
      </c>
      <c r="L18" s="1">
        <v>895</v>
      </c>
      <c r="M18" s="1">
        <v>130</v>
      </c>
      <c r="N18">
        <f t="shared" si="0"/>
        <v>895</v>
      </c>
    </row>
    <row r="19" spans="1:14" ht="15.75" customHeight="1">
      <c r="C19" s="1"/>
      <c r="D19" s="1"/>
      <c r="E19" s="1"/>
    </row>
    <row r="20" spans="1:14" ht="15.75" customHeight="1">
      <c r="C20" s="1"/>
      <c r="D20" s="1" t="s">
        <v>44</v>
      </c>
      <c r="E20" s="1">
        <v>0.3</v>
      </c>
      <c r="I20">
        <f>16*200</f>
        <v>3200</v>
      </c>
    </row>
    <row r="21" spans="1:14" ht="15.75" customHeight="1">
      <c r="C21" s="1"/>
      <c r="D21" s="1" t="s">
        <v>45</v>
      </c>
      <c r="E21" s="1" t="s">
        <v>46</v>
      </c>
      <c r="F21" s="1" t="s">
        <v>47</v>
      </c>
      <c r="G21" s="1" t="s">
        <v>300</v>
      </c>
    </row>
    <row r="22" spans="1:14" ht="15.75" customHeight="1">
      <c r="C22" s="1"/>
      <c r="D22" s="1" t="s">
        <v>301</v>
      </c>
      <c r="E22" s="1" t="s">
        <v>50</v>
      </c>
      <c r="F22" s="1"/>
    </row>
    <row r="23" spans="1:14" ht="15.75" customHeight="1">
      <c r="C23" s="1"/>
      <c r="D23" s="1" t="s">
        <v>52</v>
      </c>
      <c r="E23" s="1">
        <v>1100</v>
      </c>
      <c r="F23">
        <f>E23/$E$20-E23</f>
        <v>2566.666666666667</v>
      </c>
      <c r="G23">
        <f>F23+E23</f>
        <v>3666.666666666667</v>
      </c>
    </row>
    <row r="24" spans="1:14" ht="15.75" customHeight="1">
      <c r="C24" s="1"/>
      <c r="D24" s="1"/>
      <c r="E24" s="1"/>
      <c r="F24" s="1"/>
    </row>
    <row r="25" spans="1:14" ht="15.75" customHeight="1">
      <c r="C25" s="1"/>
      <c r="D25" s="1"/>
      <c r="E25" s="1"/>
    </row>
    <row r="26" spans="1:14" ht="15.75" customHeight="1">
      <c r="F26" s="1"/>
      <c r="G26" s="1"/>
    </row>
    <row r="27" spans="1:14" ht="15.75" customHeight="1">
      <c r="E27" s="1"/>
      <c r="F27" s="1"/>
      <c r="G27" s="1"/>
    </row>
    <row r="29" spans="1:14" ht="15.75" customHeight="1">
      <c r="A29" s="1" t="s">
        <v>304</v>
      </c>
    </row>
    <row r="30" spans="1:14" ht="15.75" customHeight="1">
      <c r="A30" s="1" t="s">
        <v>305</v>
      </c>
    </row>
    <row r="31" spans="1:14" ht="15.75" customHeight="1">
      <c r="A31" s="1" t="s">
        <v>306</v>
      </c>
      <c r="H31" s="1"/>
      <c r="I31" s="1"/>
    </row>
    <row r="32" spans="1:14" ht="15.75" customHeight="1">
      <c r="A32" s="1" t="s">
        <v>328</v>
      </c>
    </row>
    <row r="33" spans="1:14" ht="15.75" customHeight="1">
      <c r="A33" s="1" t="s">
        <v>329</v>
      </c>
      <c r="B33" s="100"/>
    </row>
    <row r="34" spans="1:14" ht="15.75" customHeight="1">
      <c r="A34" s="1" t="s">
        <v>330</v>
      </c>
      <c r="J34" s="1"/>
      <c r="K34" s="1"/>
      <c r="L34" s="1"/>
    </row>
    <row r="35" spans="1:14" ht="15.75" customHeight="1">
      <c r="A35" s="1" t="s">
        <v>331</v>
      </c>
      <c r="B35" s="1"/>
    </row>
    <row r="36" spans="1:14" ht="15.75" customHeight="1">
      <c r="A36" s="1" t="s">
        <v>332</v>
      </c>
    </row>
    <row r="37" spans="1:14" ht="15.75" customHeight="1">
      <c r="A37" s="1" t="s">
        <v>333</v>
      </c>
      <c r="B37" s="1"/>
      <c r="K37" s="1"/>
      <c r="L37" s="1"/>
      <c r="M37" s="1"/>
    </row>
    <row r="38" spans="1:14" ht="15.75" customHeight="1">
      <c r="A38" s="1" t="s">
        <v>334</v>
      </c>
      <c r="L38" s="1"/>
      <c r="M38" s="1"/>
    </row>
    <row r="39" spans="1:14" ht="12.75">
      <c r="A39" s="1" t="s">
        <v>335</v>
      </c>
      <c r="L39" s="1"/>
      <c r="N39" s="1"/>
    </row>
    <row r="40" spans="1:14" ht="12.75">
      <c r="A40" s="1" t="s">
        <v>336</v>
      </c>
    </row>
    <row r="41" spans="1:14" ht="12.75">
      <c r="A41" s="1" t="s">
        <v>337</v>
      </c>
      <c r="N41" s="1"/>
    </row>
    <row r="42" spans="1:14" ht="12.75">
      <c r="A42" s="1"/>
    </row>
    <row r="43" spans="1:14" ht="12.75">
      <c r="A43" s="1" t="s">
        <v>338</v>
      </c>
      <c r="N43" s="1"/>
    </row>
    <row r="44" spans="1:14" ht="12.75">
      <c r="A44" s="1" t="s">
        <v>339</v>
      </c>
    </row>
    <row r="45" spans="1:14" ht="12.75">
      <c r="A45" s="1" t="s">
        <v>340</v>
      </c>
    </row>
    <row r="46" spans="1:14" ht="12.75">
      <c r="A46" s="1" t="s">
        <v>108</v>
      </c>
    </row>
    <row r="47" spans="1:14" ht="12.75">
      <c r="A47" s="1" t="s">
        <v>341</v>
      </c>
    </row>
    <row r="48" spans="1:14" ht="12.75">
      <c r="A48" s="1" t="s">
        <v>342</v>
      </c>
    </row>
    <row r="49" spans="1:1" ht="12.75">
      <c r="A49" s="1" t="s">
        <v>343</v>
      </c>
    </row>
    <row r="50" spans="1:1" ht="12.75">
      <c r="A50" s="1" t="s">
        <v>69</v>
      </c>
    </row>
    <row r="51" spans="1:1" ht="12.75">
      <c r="A51" s="1" t="s">
        <v>344</v>
      </c>
    </row>
    <row r="52" spans="1:1" ht="12.75">
      <c r="A52" s="1" t="s">
        <v>345</v>
      </c>
    </row>
    <row r="53" spans="1:1" ht="12.75">
      <c r="A53" s="1" t="s">
        <v>346</v>
      </c>
    </row>
    <row r="54" spans="1:1" ht="12.75">
      <c r="A54" s="1"/>
    </row>
    <row r="55" spans="1:1" ht="12.75">
      <c r="A55" s="1" t="s">
        <v>347</v>
      </c>
    </row>
    <row r="56" spans="1:1" ht="12.75">
      <c r="A56" s="1" t="s">
        <v>348</v>
      </c>
    </row>
    <row r="57" spans="1:1" ht="12.75">
      <c r="A57" s="1" t="s">
        <v>349</v>
      </c>
    </row>
    <row r="58" spans="1:1" ht="12.75">
      <c r="A58" s="1" t="s">
        <v>350</v>
      </c>
    </row>
    <row r="59" spans="1:1" ht="12.75">
      <c r="A59" s="1" t="s">
        <v>351</v>
      </c>
    </row>
    <row r="60" spans="1:1" ht="12.75">
      <c r="A60" s="1" t="s">
        <v>352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64</vt:i4>
      </vt:variant>
    </vt:vector>
  </HeadingPairs>
  <TitlesOfParts>
    <vt:vector size="64" baseType="lpstr">
      <vt:lpstr>MVK Drying 41516</vt:lpstr>
      <vt:lpstr>MVK Drying 4816</vt:lpstr>
      <vt:lpstr>MVK Drying 4116</vt:lpstr>
      <vt:lpstr>MVK Paper 33116</vt:lpstr>
      <vt:lpstr>JW 111915</vt:lpstr>
      <vt:lpstr>MVK Paper 32416</vt:lpstr>
      <vt:lpstr>MVK Drying 31816</vt:lpstr>
      <vt:lpstr>MJS Drying 31116</vt:lpstr>
      <vt:lpstr>MVK Drying 3216</vt:lpstr>
      <vt:lpstr>MVK Drying 22616</vt:lpstr>
      <vt:lpstr>MJS Drying 21916</vt:lpstr>
      <vt:lpstr>MVK Drying 21216</vt:lpstr>
      <vt:lpstr>MVK Drying 2516</vt:lpstr>
      <vt:lpstr>MVK Drying 12916</vt:lpstr>
      <vt:lpstr>MJS Drying 12216</vt:lpstr>
      <vt:lpstr>MVK Drying 11516</vt:lpstr>
      <vt:lpstr>REK Drying 12415</vt:lpstr>
      <vt:lpstr>JW 12815</vt:lpstr>
      <vt:lpstr>JW 12315</vt:lpstr>
      <vt:lpstr>REK Drying 112015</vt:lpstr>
      <vt:lpstr>NFW Continuous 111215</vt:lpstr>
      <vt:lpstr>MRR Parity 111615</vt:lpstr>
      <vt:lpstr>REK drying 111315</vt:lpstr>
      <vt:lpstr>MVK continuous 111215</vt:lpstr>
      <vt:lpstr>JW 111215</vt:lpstr>
      <vt:lpstr>while MJS away week of 11915</vt:lpstr>
      <vt:lpstr>MVK Drying 1162015</vt:lpstr>
      <vt:lpstr>JW 11515</vt:lpstr>
      <vt:lpstr>drying calib JW 11315</vt:lpstr>
      <vt:lpstr>REK Drying 103015</vt:lpstr>
      <vt:lpstr>MJS continuous 102915</vt:lpstr>
      <vt:lpstr>REK Drying 102315</vt:lpstr>
      <vt:lpstr>MJS liquid product 102215</vt:lpstr>
      <vt:lpstr>JBW water losing on paper 10221</vt:lpstr>
      <vt:lpstr>REK Drying 101615</vt:lpstr>
      <vt:lpstr>MJS liquid product 101515</vt:lpstr>
      <vt:lpstr>REK Drying 10915</vt:lpstr>
      <vt:lpstr>MJS liquid product 10815</vt:lpstr>
      <vt:lpstr>REK Drying 10215</vt:lpstr>
      <vt:lpstr>MJS liquid product 10115</vt:lpstr>
      <vt:lpstr>REK Drying 925</vt:lpstr>
      <vt:lpstr>REK drying 91815</vt:lpstr>
      <vt:lpstr>MJS liquid product 91715</vt:lpstr>
      <vt:lpstr>JW 91515</vt:lpstr>
      <vt:lpstr>REK drying 91115</vt:lpstr>
      <vt:lpstr>MJS liquid product 91015</vt:lpstr>
      <vt:lpstr>REK liquid product 9415</vt:lpstr>
      <vt:lpstr>REK drying 82815</vt:lpstr>
      <vt:lpstr>CRS drying 72415</vt:lpstr>
      <vt:lpstr>CRS drying 72315</vt:lpstr>
      <vt:lpstr>CRS drying 71015</vt:lpstr>
      <vt:lpstr>CRS schedule summer 2015</vt:lpstr>
      <vt:lpstr>MJS drying 61915</vt:lpstr>
      <vt:lpstr>MJS drying 61715</vt:lpstr>
      <vt:lpstr>MJS drying 61215</vt:lpstr>
      <vt:lpstr>MJS substrate 61115</vt:lpstr>
      <vt:lpstr>MJS drying 60515</vt:lpstr>
      <vt:lpstr>MJS substratepressure 6415</vt:lpstr>
      <vt:lpstr>Liquid analysis 52715 </vt:lpstr>
      <vt:lpstr>Liquid analysis 52615 </vt:lpstr>
      <vt:lpstr>MJS drying 52215</vt:lpstr>
      <vt:lpstr>MJS long drying 52115</vt:lpstr>
      <vt:lpstr>MJS low power 52115</vt:lpstr>
      <vt:lpstr>liquid analysis from 51815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Griffith</dc:creator>
  <cp:lastModifiedBy>Emily Griffith</cp:lastModifiedBy>
  <dcterms:created xsi:type="dcterms:W3CDTF">2017-01-24T16:51:45Z</dcterms:created>
  <dcterms:modified xsi:type="dcterms:W3CDTF">2017-01-24T16:51:45Z</dcterms:modified>
</cp:coreProperties>
</file>