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xperiments\Nayanika\"/>
    </mc:Choice>
  </mc:AlternateContent>
  <xr:revisionPtr revIDLastSave="0" documentId="13_ncr:1_{E6E0CBE5-E484-471B-BA03-21362FBC63F5}" xr6:coauthVersionLast="47" xr6:coauthVersionMax="47" xr10:uidLastSave="{00000000-0000-0000-0000-000000000000}"/>
  <bookViews>
    <workbookView xWindow="-120" yWindow="-120" windowWidth="38640" windowHeight="21240" activeTab="2" xr2:uid="{2AAEB7BA-7028-40F3-B67F-09395660624D}"/>
  </bookViews>
  <sheets>
    <sheet name="Sheet1" sheetId="1" r:id="rId1"/>
    <sheet name="primers" sheetId="2" r:id="rId2"/>
    <sheet name="Protein properties" sheetId="3" r:id="rId3"/>
    <sheet name="Catalysis tables" sheetId="4" r:id="rId4"/>
    <sheet name="Nanodrop DN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5" i="3"/>
  <c r="U52" i="4"/>
  <c r="K19" i="3"/>
  <c r="K20" i="3"/>
  <c r="K21" i="3"/>
  <c r="K22" i="3"/>
  <c r="K23" i="3"/>
  <c r="K24" i="3"/>
  <c r="K25" i="3"/>
  <c r="K12" i="3"/>
  <c r="Q50" i="4"/>
  <c r="G20" i="3"/>
  <c r="G21" i="3"/>
  <c r="G22" i="3"/>
  <c r="G23" i="3"/>
  <c r="G24" i="3"/>
  <c r="G25" i="3"/>
  <c r="F20" i="3"/>
  <c r="F22" i="3"/>
  <c r="F25" i="3"/>
  <c r="E20" i="3"/>
  <c r="E21" i="3"/>
  <c r="F21" i="3" s="1"/>
  <c r="E22" i="3"/>
  <c r="E23" i="3"/>
  <c r="F23" i="3" s="1"/>
  <c r="E24" i="3"/>
  <c r="F24" i="3" s="1"/>
  <c r="E25" i="3"/>
  <c r="G19" i="3"/>
  <c r="E19" i="3"/>
  <c r="F19" i="3"/>
  <c r="F16" i="2"/>
  <c r="M21" i="4" l="1"/>
  <c r="M20" i="4"/>
  <c r="E38" i="4" l="1"/>
  <c r="T40" i="4" s="1"/>
  <c r="E27" i="4"/>
  <c r="T29" i="4" s="1"/>
  <c r="E16" i="4"/>
  <c r="T16" i="4" s="1"/>
  <c r="E15" i="4"/>
  <c r="T15" i="4" s="1"/>
  <c r="G18" i="3"/>
  <c r="K18" i="3" s="1"/>
  <c r="E18" i="3"/>
  <c r="F18" i="3" s="1"/>
  <c r="G17" i="3"/>
  <c r="K17" i="3" s="1"/>
  <c r="E17" i="3"/>
  <c r="F17" i="3" s="1"/>
  <c r="G16" i="3"/>
  <c r="K16" i="3" s="1"/>
  <c r="E16" i="3"/>
  <c r="F16" i="3" s="1"/>
  <c r="G15" i="3"/>
  <c r="K15" i="3" s="1"/>
  <c r="E15" i="3"/>
  <c r="F15" i="3" s="1"/>
  <c r="G14" i="3"/>
  <c r="K14" i="3" s="1"/>
  <c r="E14" i="3"/>
  <c r="F14" i="3" s="1"/>
  <c r="G13" i="3"/>
  <c r="K13" i="3" s="1"/>
  <c r="F13" i="3"/>
  <c r="E13" i="3"/>
  <c r="G12" i="3"/>
  <c r="E12" i="3"/>
  <c r="F12" i="3" s="1"/>
  <c r="G11" i="3"/>
  <c r="K11" i="3" s="1"/>
  <c r="E11" i="3"/>
  <c r="F11" i="3" s="1"/>
  <c r="G10" i="3"/>
  <c r="K10" i="3" s="1"/>
  <c r="E10" i="3"/>
  <c r="F10" i="3" s="1"/>
  <c r="K9" i="3"/>
  <c r="G9" i="3"/>
  <c r="F9" i="3"/>
  <c r="E9" i="3"/>
  <c r="G8" i="3"/>
  <c r="K8" i="3" s="1"/>
  <c r="E8" i="3"/>
  <c r="F8" i="3" s="1"/>
  <c r="G7" i="3"/>
  <c r="K7" i="3" s="1"/>
  <c r="E7" i="3"/>
  <c r="F7" i="3" s="1"/>
  <c r="G6" i="3"/>
  <c r="K6" i="3" s="1"/>
  <c r="F6" i="3"/>
  <c r="E6" i="3"/>
  <c r="G5" i="3"/>
  <c r="K5" i="3" s="1"/>
  <c r="E5" i="3"/>
  <c r="F5" i="3" s="1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27" i="4"/>
  <c r="Y27" i="4"/>
  <c r="X50" i="4"/>
  <c r="Y50" i="4"/>
  <c r="X73" i="4"/>
  <c r="Y73" i="4"/>
  <c r="X7" i="4"/>
  <c r="Y7" i="4"/>
  <c r="Y6" i="4"/>
  <c r="X6" i="4"/>
  <c r="N15" i="4"/>
  <c r="L15" i="4" s="1"/>
  <c r="L16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27" i="4"/>
  <c r="R27" i="4"/>
  <c r="R50" i="4"/>
  <c r="Q73" i="4"/>
  <c r="R73" i="4"/>
  <c r="Q7" i="4"/>
  <c r="R7" i="4"/>
  <c r="R6" i="4"/>
  <c r="Q6" i="4"/>
  <c r="T27" i="4"/>
  <c r="T50" i="4"/>
  <c r="T73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F71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E6" i="4"/>
  <c r="E7" i="4"/>
  <c r="T7" i="4" s="1"/>
  <c r="E8" i="4"/>
  <c r="F8" i="4" s="1"/>
  <c r="E9" i="4"/>
  <c r="T9" i="4" s="1"/>
  <c r="E10" i="4"/>
  <c r="T10" i="4" s="1"/>
  <c r="E11" i="4"/>
  <c r="F11" i="4" s="1"/>
  <c r="E12" i="4"/>
  <c r="E13" i="4"/>
  <c r="E14" i="4"/>
  <c r="T14" i="4" s="1"/>
  <c r="E17" i="4"/>
  <c r="T17" i="4" s="1"/>
  <c r="E18" i="4"/>
  <c r="T18" i="4" s="1"/>
  <c r="E19" i="4"/>
  <c r="T19" i="4" s="1"/>
  <c r="E20" i="4"/>
  <c r="T20" i="4" s="1"/>
  <c r="E21" i="4"/>
  <c r="T21" i="4" s="1"/>
  <c r="E22" i="4"/>
  <c r="T22" i="4" s="1"/>
  <c r="E23" i="4"/>
  <c r="T23" i="4" s="1"/>
  <c r="E24" i="4"/>
  <c r="T24" i="4" s="1"/>
  <c r="E25" i="4"/>
  <c r="T25" i="4" s="1"/>
  <c r="E26" i="4"/>
  <c r="T26" i="4" s="1"/>
  <c r="E28" i="4"/>
  <c r="T30" i="4" s="1"/>
  <c r="E29" i="4"/>
  <c r="T31" i="4" s="1"/>
  <c r="E30" i="4"/>
  <c r="T32" i="4" s="1"/>
  <c r="E31" i="4"/>
  <c r="E32" i="4"/>
  <c r="F32" i="4" s="1"/>
  <c r="E33" i="4"/>
  <c r="F33" i="4" s="1"/>
  <c r="E34" i="4"/>
  <c r="T36" i="4" s="1"/>
  <c r="E35" i="4"/>
  <c r="T37" i="4" s="1"/>
  <c r="E36" i="4"/>
  <c r="F36" i="4" s="1"/>
  <c r="E37" i="4"/>
  <c r="T39" i="4" s="1"/>
  <c r="E39" i="4"/>
  <c r="T41" i="4" s="1"/>
  <c r="E40" i="4"/>
  <c r="T42" i="4" s="1"/>
  <c r="E41" i="4"/>
  <c r="T43" i="4" s="1"/>
  <c r="E42" i="4"/>
  <c r="T44" i="4" s="1"/>
  <c r="E43" i="4"/>
  <c r="T45" i="4" s="1"/>
  <c r="E44" i="4"/>
  <c r="T46" i="4" s="1"/>
  <c r="E45" i="4"/>
  <c r="T47" i="4" s="1"/>
  <c r="E46" i="4"/>
  <c r="T48" i="4" s="1"/>
  <c r="E47" i="4"/>
  <c r="T49" i="4" s="1"/>
  <c r="E48" i="4"/>
  <c r="T52" i="4" s="1"/>
  <c r="E49" i="4"/>
  <c r="T53" i="4" s="1"/>
  <c r="E50" i="4"/>
  <c r="T54" i="4" s="1"/>
  <c r="E51" i="4"/>
  <c r="T55" i="4" s="1"/>
  <c r="E52" i="4"/>
  <c r="T56" i="4" s="1"/>
  <c r="E53" i="4"/>
  <c r="T57" i="4" s="1"/>
  <c r="E54" i="4"/>
  <c r="T58" i="4" s="1"/>
  <c r="E55" i="4"/>
  <c r="E56" i="4"/>
  <c r="F56" i="4" s="1"/>
  <c r="E57" i="4"/>
  <c r="T61" i="4" s="1"/>
  <c r="E58" i="4"/>
  <c r="T62" i="4" s="1"/>
  <c r="E59" i="4"/>
  <c r="E60" i="4"/>
  <c r="F60" i="4" s="1"/>
  <c r="E61" i="4"/>
  <c r="F61" i="4" s="1"/>
  <c r="E62" i="4"/>
  <c r="T66" i="4" s="1"/>
  <c r="E63" i="4"/>
  <c r="T67" i="4" s="1"/>
  <c r="E64" i="4"/>
  <c r="T68" i="4" s="1"/>
  <c r="E65" i="4"/>
  <c r="T69" i="4" s="1"/>
  <c r="E66" i="4"/>
  <c r="T70" i="4" s="1"/>
  <c r="E67" i="4"/>
  <c r="E68" i="4"/>
  <c r="F68" i="4" s="1"/>
  <c r="H6" i="4"/>
  <c r="N10" i="4" s="1"/>
  <c r="G6" i="4"/>
  <c r="N9" i="4" s="1"/>
  <c r="F59" i="4" l="1"/>
  <c r="F13" i="4"/>
  <c r="F12" i="4"/>
  <c r="F6" i="4"/>
  <c r="F31" i="4"/>
  <c r="F67" i="4"/>
  <c r="F55" i="4"/>
  <c r="T11" i="4"/>
  <c r="F70" i="4"/>
  <c r="F69" i="4"/>
  <c r="F48" i="4"/>
  <c r="F57" i="4"/>
  <c r="F49" i="4"/>
  <c r="F51" i="4"/>
  <c r="F44" i="4"/>
  <c r="T65" i="4"/>
  <c r="T6" i="4"/>
  <c r="T64" i="4"/>
  <c r="T63" i="4"/>
  <c r="T60" i="4"/>
  <c r="T71" i="4"/>
  <c r="T59" i="4"/>
  <c r="T72" i="4"/>
  <c r="F58" i="4"/>
  <c r="F47" i="4"/>
  <c r="F46" i="4"/>
  <c r="F45" i="4"/>
  <c r="F43" i="4"/>
  <c r="F37" i="4"/>
  <c r="T38" i="4"/>
  <c r="F35" i="4"/>
  <c r="F34" i="4"/>
  <c r="T35" i="4"/>
  <c r="T34" i="4"/>
  <c r="T33" i="4"/>
  <c r="F25" i="4"/>
  <c r="F24" i="4"/>
  <c r="F23" i="4"/>
  <c r="F22" i="4"/>
  <c r="F21" i="4"/>
  <c r="F19" i="4"/>
  <c r="T13" i="4"/>
  <c r="T12" i="4"/>
  <c r="F10" i="4"/>
  <c r="F9" i="4"/>
  <c r="T8" i="4"/>
  <c r="F7" i="4"/>
  <c r="F41" i="4"/>
  <c r="F29" i="4"/>
  <c r="F52" i="4"/>
  <c r="F63" i="4"/>
  <c r="F27" i="4"/>
  <c r="F20" i="4"/>
  <c r="F53" i="4"/>
  <c r="F17" i="4"/>
  <c r="F64" i="4"/>
  <c r="F40" i="4"/>
  <c r="F16" i="4"/>
  <c r="F39" i="4"/>
  <c r="F65" i="4"/>
  <c r="F28" i="4"/>
  <c r="F66" i="4"/>
  <c r="F54" i="4"/>
  <c r="F42" i="4"/>
  <c r="F30" i="4"/>
  <c r="F18" i="4"/>
  <c r="F15" i="4"/>
  <c r="F62" i="4"/>
  <c r="F50" i="4"/>
  <c r="F38" i="4"/>
  <c r="F26" i="4"/>
  <c r="F14" i="4"/>
  <c r="K6" i="4" l="1"/>
  <c r="K5" i="4"/>
  <c r="L13" i="4" l="1"/>
  <c r="V6" i="4" s="1"/>
  <c r="U6" i="4" s="1"/>
  <c r="N8" i="4"/>
  <c r="N11" i="4" s="1"/>
  <c r="D19" i="2"/>
  <c r="C1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F5" i="2"/>
  <c r="F6" i="2"/>
  <c r="F7" i="2"/>
  <c r="F8" i="2"/>
  <c r="F9" i="2"/>
  <c r="F10" i="2"/>
  <c r="F11" i="2"/>
  <c r="F12" i="2"/>
  <c r="F13" i="2"/>
  <c r="F14" i="2"/>
  <c r="F15" i="2"/>
  <c r="F17" i="2"/>
  <c r="F4" i="2"/>
  <c r="V71" i="4" l="1"/>
  <c r="U71" i="4" s="1"/>
  <c r="V64" i="4"/>
  <c r="U64" i="4" s="1"/>
  <c r="V70" i="4"/>
  <c r="U70" i="4" s="1"/>
  <c r="V63" i="4"/>
  <c r="U63" i="4" s="1"/>
  <c r="V20" i="4"/>
  <c r="U20" i="4" s="1"/>
  <c r="V58" i="4"/>
  <c r="U58" i="4" s="1"/>
  <c r="V56" i="4"/>
  <c r="U56" i="4" s="1"/>
  <c r="V68" i="4"/>
  <c r="U68" i="4" s="1"/>
  <c r="V60" i="4"/>
  <c r="U60" i="4" s="1"/>
  <c r="V46" i="4"/>
  <c r="U46" i="4" s="1"/>
  <c r="V34" i="4"/>
  <c r="U34" i="4" s="1"/>
  <c r="V11" i="4"/>
  <c r="U11" i="4" s="1"/>
  <c r="V8" i="4"/>
  <c r="U8" i="4" s="1"/>
  <c r="V44" i="4"/>
  <c r="U44" i="4" s="1"/>
  <c r="V42" i="4"/>
  <c r="U42" i="4" s="1"/>
  <c r="V66" i="4"/>
  <c r="U66" i="4" s="1"/>
  <c r="V73" i="4"/>
  <c r="U73" i="4" s="1"/>
  <c r="V10" i="4"/>
  <c r="U10" i="4" s="1"/>
  <c r="V61" i="4"/>
  <c r="U61" i="4" s="1"/>
  <c r="V24" i="4"/>
  <c r="U24" i="4" s="1"/>
  <c r="V32" i="4"/>
  <c r="U32" i="4" s="1"/>
  <c r="V30" i="4"/>
  <c r="U30" i="4" s="1"/>
  <c r="V54" i="4"/>
  <c r="U54" i="4" s="1"/>
  <c r="V36" i="4"/>
  <c r="U36" i="4" s="1"/>
  <c r="V27" i="4"/>
  <c r="U27" i="4" s="1"/>
  <c r="V38" i="4"/>
  <c r="U38" i="4" s="1"/>
  <c r="V47" i="4"/>
  <c r="U47" i="4" s="1"/>
  <c r="V37" i="4"/>
  <c r="U37" i="4" s="1"/>
  <c r="V18" i="4"/>
  <c r="U18" i="4" s="1"/>
  <c r="V16" i="4"/>
  <c r="U16" i="4" s="1"/>
  <c r="V40" i="4"/>
  <c r="U40" i="4" s="1"/>
  <c r="V15" i="4"/>
  <c r="U15" i="4" s="1"/>
  <c r="V22" i="4"/>
  <c r="U22" i="4" s="1"/>
  <c r="V35" i="4"/>
  <c r="U35" i="4" s="1"/>
  <c r="V7" i="4"/>
  <c r="U7" i="4" s="1"/>
  <c r="V72" i="4"/>
  <c r="U72" i="4" s="1"/>
  <c r="V50" i="4"/>
  <c r="U50" i="4" s="1"/>
  <c r="V26" i="4"/>
  <c r="U26" i="4" s="1"/>
  <c r="V17" i="4"/>
  <c r="U17" i="4" s="1"/>
  <c r="V52" i="4"/>
  <c r="V12" i="4"/>
  <c r="U12" i="4" s="1"/>
  <c r="V21" i="4"/>
  <c r="U21" i="4" s="1"/>
  <c r="V59" i="4"/>
  <c r="U59" i="4" s="1"/>
  <c r="V69" i="4"/>
  <c r="U69" i="4" s="1"/>
  <c r="V67" i="4"/>
  <c r="U67" i="4" s="1"/>
  <c r="V14" i="4"/>
  <c r="U14" i="4" s="1"/>
  <c r="V9" i="4"/>
  <c r="U9" i="4" s="1"/>
  <c r="V65" i="4"/>
  <c r="U65" i="4" s="1"/>
  <c r="V62" i="4"/>
  <c r="U62" i="4" s="1"/>
  <c r="V49" i="4"/>
  <c r="U49" i="4" s="1"/>
  <c r="V33" i="4"/>
  <c r="U33" i="4" s="1"/>
  <c r="V43" i="4"/>
  <c r="U43" i="4" s="1"/>
  <c r="V41" i="4"/>
  <c r="U41" i="4" s="1"/>
  <c r="V53" i="4"/>
  <c r="U53" i="4" s="1"/>
  <c r="V23" i="4"/>
  <c r="U23" i="4" s="1"/>
  <c r="V45" i="4"/>
  <c r="U45" i="4" s="1"/>
  <c r="V57" i="4"/>
  <c r="U57" i="4" s="1"/>
  <c r="V55" i="4"/>
  <c r="U55" i="4" s="1"/>
  <c r="V48" i="4"/>
  <c r="U48" i="4" s="1"/>
  <c r="V19" i="4"/>
  <c r="U19" i="4" s="1"/>
  <c r="V31" i="4"/>
  <c r="U31" i="4" s="1"/>
  <c r="V29" i="4"/>
  <c r="U29" i="4" s="1"/>
  <c r="V39" i="4"/>
  <c r="U39" i="4" s="1"/>
  <c r="V25" i="4"/>
  <c r="U25" i="4" s="1"/>
  <c r="V13" i="4"/>
  <c r="U13" i="4" s="1"/>
</calcChain>
</file>

<file path=xl/sharedStrings.xml><?xml version="1.0" encoding="utf-8"?>
<sst xmlns="http://schemas.openxmlformats.org/spreadsheetml/2006/main" count="636" uniqueCount="302">
  <si>
    <t>Target constructs</t>
  </si>
  <si>
    <t>ID</t>
  </si>
  <si>
    <t>name</t>
  </si>
  <si>
    <t>tray</t>
  </si>
  <si>
    <t>box</t>
  </si>
  <si>
    <t>row</t>
  </si>
  <si>
    <t>column</t>
  </si>
  <si>
    <t>strain</t>
  </si>
  <si>
    <t>vector name</t>
  </si>
  <si>
    <t>insert</t>
  </si>
  <si>
    <t>label-description</t>
  </si>
  <si>
    <t>cloning strategy</t>
  </si>
  <si>
    <t>labbook remark</t>
  </si>
  <si>
    <t>date</t>
  </si>
  <si>
    <t>licenses</t>
  </si>
  <si>
    <t>Notes, remarks</t>
  </si>
  <si>
    <t>Leveson-Gower, Reuben</t>
  </si>
  <si>
    <t>G2</t>
  </si>
  <si>
    <t>C</t>
  </si>
  <si>
    <t>3</t>
  </si>
  <si>
    <t/>
  </si>
  <si>
    <t>A</t>
  </si>
  <si>
    <t>4</t>
  </si>
  <si>
    <t>Poggetti, Valeria</t>
  </si>
  <si>
    <t>N3</t>
  </si>
  <si>
    <t>E.coli.BL21 (DE3)</t>
  </si>
  <si>
    <t>pET17b_LmrR_V15X_W96A + pEVOL_pAzFRS.2.t1</t>
  </si>
  <si>
    <t>pEVOL_pAzFRS.2.t1</t>
  </si>
  <si>
    <t>new (November 24)</t>
  </si>
  <si>
    <t>1</t>
  </si>
  <si>
    <t>2</t>
  </si>
  <si>
    <t>E. coli BL21DE3 C43</t>
  </si>
  <si>
    <t>pET17b_LmrR_V15X_E7A + pEVOL-pAzF</t>
  </si>
  <si>
    <t>GGO 03-023/01</t>
  </si>
  <si>
    <t>pET17b_LmrR_V15X_A11L + pEVOL-pAzF</t>
  </si>
  <si>
    <t>pET17b_LmrR_V15X_L18A + pEVOL-pAzF</t>
  </si>
  <si>
    <t>5</t>
  </si>
  <si>
    <t>pET17b_LmrR_V15X_N19A + pEVOL-pAzF</t>
  </si>
  <si>
    <t>6</t>
  </si>
  <si>
    <t>pET17b_LmrR_V15X_K22A + pEVOL-pAzF</t>
  </si>
  <si>
    <t>7</t>
  </si>
  <si>
    <t>pET17b_LmrR_V15X_N88A + pEVOL-pAzF</t>
  </si>
  <si>
    <t>8</t>
  </si>
  <si>
    <t>pET17b_LmrR_V15X_M89A + pEVOL-pAzF</t>
  </si>
  <si>
    <t>9</t>
  </si>
  <si>
    <t>pET17b_LmrR_V15X_A92E + pEVOL-pAzF</t>
  </si>
  <si>
    <t>B</t>
  </si>
  <si>
    <t>pET17b_LmrR_V15X_F93A + pEVOL-pAzF</t>
  </si>
  <si>
    <t>pET17b_LmrR_V15X_S95A + pEVOL-pAzF</t>
  </si>
  <si>
    <t>pET17b_LmrR_V15X_S97A + pEVOL-pAzF</t>
  </si>
  <si>
    <t>pET17b_LmrR_V15X_D100A + pEVOL-pAzF</t>
  </si>
  <si>
    <t>GMO-80</t>
  </si>
  <si>
    <t>primer list</t>
  </si>
  <si>
    <t>primers</t>
  </si>
  <si>
    <t>sequence</t>
  </si>
  <si>
    <t>LmrR_V99A_fwd</t>
  </si>
  <si>
    <t>GTCGTGCGGACAAAATCATTGAAAATCTGG</t>
  </si>
  <si>
    <t>TTTGTCCGCACGACTCCAGGATTCG</t>
  </si>
  <si>
    <t>LmrR_V99A_rev</t>
  </si>
  <si>
    <t>Tm full</t>
  </si>
  <si>
    <t>Tm 3' end</t>
  </si>
  <si>
    <t>LmrR_I16A_fwd</t>
  </si>
  <si>
    <t>CAATTAGGCGCTGCTGAATGTCCTGAAAC</t>
  </si>
  <si>
    <t>LmrR_I16A_rev</t>
  </si>
  <si>
    <t>TTCAGCAGCGCCTAATTGGTTTGAGCACG</t>
  </si>
  <si>
    <t>LmrR_N14A_fwd</t>
  </si>
  <si>
    <t>LmrR_N14A_rev</t>
  </si>
  <si>
    <t>CAAACCGCGTAGATCCTGCTGAATGTCC</t>
  </si>
  <si>
    <t>AGGATCTACGCGGTTTGAGCACGCAG</t>
  </si>
  <si>
    <t>LmrR_L9A_fwd</t>
  </si>
  <si>
    <t>GAAATGGCGCGTGCTCAAACCAATTAG</t>
  </si>
  <si>
    <t>LmrR_L9A_rev</t>
  </si>
  <si>
    <t>ACGCGCCATTTCTTTCGGGATTTCG</t>
  </si>
  <si>
    <t>LmrR_R10A_fwd</t>
  </si>
  <si>
    <t>CTGGCGGCTCAAACCAATTAGATCCTG</t>
  </si>
  <si>
    <t>LmrR_R10A_rev</t>
  </si>
  <si>
    <t>GAGCCGCCAGCATTTCTTTCGGGATTTC</t>
  </si>
  <si>
    <t>LmrR_K101A_fwd</t>
  </si>
  <si>
    <t>GTGTGGACGCGATCATTGAAAATCTGGAAGCAAAC</t>
  </si>
  <si>
    <t>LmrR_K101A_rev</t>
  </si>
  <si>
    <t>CAGATTTTCAATGATCGCGTCCACACGACTCC</t>
  </si>
  <si>
    <t>LmrR_E104_fwd</t>
  </si>
  <si>
    <t>GACAAAATCATTGCGAATCTGGAAGCAAACAAAAAATC</t>
  </si>
  <si>
    <t>LmrR_E104_rev</t>
  </si>
  <si>
    <t>CTTCCAGATTCGCAATGATTTTGTCCACACG</t>
  </si>
  <si>
    <t>Proteins</t>
  </si>
  <si>
    <t>Name</t>
  </si>
  <si>
    <t>ncaa</t>
  </si>
  <si>
    <t>MW w/o ncaa</t>
  </si>
  <si>
    <t>Ext. Coeff w/o ncaa</t>
  </si>
  <si>
    <t>Protparam values</t>
  </si>
  <si>
    <t>MW with ncaa</t>
  </si>
  <si>
    <t>Monomer</t>
  </si>
  <si>
    <t>Dimer</t>
  </si>
  <si>
    <t>Ext. Coeff with ncaa</t>
  </si>
  <si>
    <t>pAF</t>
  </si>
  <si>
    <t>pAzF</t>
  </si>
  <si>
    <t>mass</t>
  </si>
  <si>
    <t>e_280 in 1/(M cm)</t>
  </si>
  <si>
    <t>mass [M-H2O]+</t>
  </si>
  <si>
    <t>LmrR_V15pAF</t>
  </si>
  <si>
    <t>LmrR_V15pAF_W96A</t>
  </si>
  <si>
    <t>GAEIPKEMLRAQTN*ILLNVLKQGDNYVYGIIKQVKEASNGEMELNEATLYTIFDRLEQDGIISSYWGDESQGGRRKYYRLTEIGHENMRLAFESWSRVDKIIENLEANKKSEAIKSRGGSGGWSHPQFEK*</t>
  </si>
  <si>
    <t>LmrR_V15tag amino acid sequence without starting Met and with streptag</t>
  </si>
  <si>
    <t>catalysis</t>
  </si>
  <si>
    <t>Reaction conditions</t>
  </si>
  <si>
    <t>Catalyst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</si>
  <si>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</si>
  <si>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</si>
  <si>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</si>
  <si>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</si>
  <si>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</si>
  <si>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</si>
  <si>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</si>
  <si>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</si>
  <si>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</si>
  <si>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</si>
  <si>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</si>
  <si>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</si>
  <si>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</si>
  <si>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</si>
  <si>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</si>
  <si>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</si>
  <si>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</si>
  <si>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</si>
  <si>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</si>
  <si>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</si>
  <si>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</si>
  <si>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</si>
  <si>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</si>
  <si>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</si>
  <si>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</si>
  <si>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</si>
  <si>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</si>
  <si>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</si>
  <si>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</si>
  <si>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</si>
  <si>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11a</t>
  </si>
  <si>
    <t>11b</t>
  </si>
  <si>
    <t>11c</t>
  </si>
  <si>
    <t>12a</t>
  </si>
  <si>
    <t>12b</t>
  </si>
  <si>
    <t>12c</t>
  </si>
  <si>
    <t>13a</t>
  </si>
  <si>
    <t>13b</t>
  </si>
  <si>
    <t>13c</t>
  </si>
  <si>
    <t>14a</t>
  </si>
  <si>
    <t>14b</t>
  </si>
  <si>
    <t>14c</t>
  </si>
  <si>
    <t>15a</t>
  </si>
  <si>
    <t>15b</t>
  </si>
  <si>
    <t>15c</t>
  </si>
  <si>
    <t>16a</t>
  </si>
  <si>
    <t>16b</t>
  </si>
  <si>
    <t>16c</t>
  </si>
  <si>
    <t>17a</t>
  </si>
  <si>
    <t>17b</t>
  </si>
  <si>
    <t>17c</t>
  </si>
  <si>
    <t>18a</t>
  </si>
  <si>
    <t>18b</t>
  </si>
  <si>
    <t>18c</t>
  </si>
  <si>
    <t>19a</t>
  </si>
  <si>
    <t>19b</t>
  </si>
  <si>
    <t>19c</t>
  </si>
  <si>
    <t>20a</t>
  </si>
  <si>
    <t>20b</t>
  </si>
  <si>
    <t>20c</t>
  </si>
  <si>
    <t>21a</t>
  </si>
  <si>
    <t>21b</t>
  </si>
  <si>
    <t>21c</t>
  </si>
  <si>
    <t>Neg a</t>
  </si>
  <si>
    <t>Neg b</t>
  </si>
  <si>
    <t>Neg c</t>
  </si>
  <si>
    <t>WT</t>
  </si>
  <si>
    <t>stock conc indole/mM</t>
  </si>
  <si>
    <t>total rxn vol/µL</t>
  </si>
  <si>
    <t>Catalyst stock concentration/µM</t>
  </si>
  <si>
    <t>Vol catalyst/µL</t>
  </si>
  <si>
    <t>final conc/mM</t>
  </si>
  <si>
    <t>fincal catalyst conc/ µM</t>
  </si>
  <si>
    <t>Vol Phosphate buffer/µL</t>
  </si>
  <si>
    <t>Vol indole/µL</t>
  </si>
  <si>
    <t>Vol enal/µL</t>
  </si>
  <si>
    <t>na</t>
  </si>
  <si>
    <t>W96A</t>
  </si>
  <si>
    <t>E7A</t>
  </si>
  <si>
    <t>A11L</t>
  </si>
  <si>
    <t>L18A</t>
  </si>
  <si>
    <t>N19A</t>
  </si>
  <si>
    <t>K22A</t>
  </si>
  <si>
    <t>N88A</t>
  </si>
  <si>
    <t>M89A</t>
  </si>
  <si>
    <t>A92E</t>
  </si>
  <si>
    <t>F93A</t>
  </si>
  <si>
    <t>S95A</t>
  </si>
  <si>
    <t>S97A</t>
  </si>
  <si>
    <t>D100A</t>
  </si>
  <si>
    <t>V99A</t>
  </si>
  <si>
    <t>I16A</t>
  </si>
  <si>
    <t>N14A</t>
  </si>
  <si>
    <t>L9A</t>
  </si>
  <si>
    <t>R10A</t>
  </si>
  <si>
    <t>K101A</t>
  </si>
  <si>
    <t>E104A</t>
  </si>
  <si>
    <t>Maximum Vol buffer</t>
  </si>
  <si>
    <t>Minimum Vol buffer</t>
  </si>
  <si>
    <t>Mastermix for 22 samples</t>
  </si>
  <si>
    <t>Phosphate buffer</t>
  </si>
  <si>
    <t>indole</t>
  </si>
  <si>
    <t>enal</t>
  </si>
  <si>
    <t>(7*3 plus 1 NC)</t>
  </si>
  <si>
    <t>void factor</t>
  </si>
  <si>
    <t>SUM</t>
  </si>
  <si>
    <t>MM volume per sample</t>
  </si>
  <si>
    <t>Pipetting table</t>
  </si>
  <si>
    <t>Reaction #+B61Q4A5:B61</t>
  </si>
  <si>
    <t>buffer vol/µL</t>
  </si>
  <si>
    <t>MM vol/µL</t>
  </si>
  <si>
    <t>Work-up</t>
  </si>
  <si>
    <t>NaBH4</t>
  </si>
  <si>
    <t>concentration  3-(3-hydroxypropyl)indole</t>
  </si>
  <si>
    <t>5 mM</t>
  </si>
  <si>
    <t>concentration NaBH4 in 0.5 w/v-% NaOH</t>
  </si>
  <si>
    <t>20 mg/mL</t>
  </si>
  <si>
    <t>NaBH4 for 22 samples</t>
  </si>
  <si>
    <t>internal standard for 22 samples</t>
  </si>
  <si>
    <t>mg</t>
  </si>
  <si>
    <t>µL</t>
  </si>
  <si>
    <t>Int. Strd</t>
  </si>
  <si>
    <t>F</t>
  </si>
  <si>
    <t>E.coli. BL21DE3 C41</t>
  </si>
  <si>
    <t>pET17b+ and pEVOL</t>
  </si>
  <si>
    <t>LmrR_V15TAG and pAzFRS2.t1</t>
  </si>
  <si>
    <t>Abs</t>
  </si>
  <si>
    <t>Abs 260/280</t>
  </si>
  <si>
    <t>Abs 260/230</t>
  </si>
  <si>
    <t>Concentration</t>
  </si>
  <si>
    <t>LmrR_V15pAF_E7A</t>
  </si>
  <si>
    <t>LmrR_V15pAF_A11L</t>
  </si>
  <si>
    <t>LmrR_V15pAF_L18A</t>
  </si>
  <si>
    <t>LmrR_V15pAF_N19A</t>
  </si>
  <si>
    <t>LmrR_V15pAF_K22A</t>
  </si>
  <si>
    <t>LmrR_V15pAF_N88A</t>
  </si>
  <si>
    <t>LmrR_V15pAF_M89A</t>
  </si>
  <si>
    <t>LmrR_V15pAF_A92E</t>
  </si>
  <si>
    <t>LmrR_V15pAF_F93A</t>
  </si>
  <si>
    <t>LmrR_V15pAF_S95A</t>
  </si>
  <si>
    <t>LmrR_V15pAF_S97A</t>
  </si>
  <si>
    <t>LmrR_V15pAF_D100A</t>
  </si>
  <si>
    <t>PCR-L9</t>
  </si>
  <si>
    <t>PCR-V99</t>
  </si>
  <si>
    <t>PCR-N14</t>
  </si>
  <si>
    <t>PCR-I16</t>
  </si>
  <si>
    <t>PCR-R10</t>
  </si>
  <si>
    <t>PCR-E104</t>
  </si>
  <si>
    <t>PCR-K101</t>
  </si>
  <si>
    <t>MP-L9-E1</t>
  </si>
  <si>
    <t>MP-L9-E2</t>
  </si>
  <si>
    <t>MP-L9-E3</t>
  </si>
  <si>
    <t>MP-V99-E1</t>
  </si>
  <si>
    <t>MP-V99-E2</t>
  </si>
  <si>
    <t>MP-V99-E3</t>
  </si>
  <si>
    <t>MP-N14-E1</t>
  </si>
  <si>
    <t>MP-N14-E2</t>
  </si>
  <si>
    <t>MP-N14-E3</t>
  </si>
  <si>
    <t>MP-I16-E1</t>
  </si>
  <si>
    <t>MP-I16-E2</t>
  </si>
  <si>
    <t>MP-I16-E3</t>
  </si>
  <si>
    <t>MP-R10-E1</t>
  </si>
  <si>
    <t>MP-R10-E2</t>
  </si>
  <si>
    <t>MP-R10-E3</t>
  </si>
  <si>
    <t>MP-E104-E1</t>
  </si>
  <si>
    <t>MP-E104-E2</t>
  </si>
  <si>
    <t>MP-E104-E3</t>
  </si>
  <si>
    <t>MP-K101-E1</t>
  </si>
  <si>
    <t>MP-K101-E2</t>
  </si>
  <si>
    <t>MP-K101-E3</t>
  </si>
  <si>
    <t>stock conc enal/mM</t>
  </si>
  <si>
    <t>Preparation of substrate stocks</t>
  </si>
  <si>
    <t>2-methylindole</t>
  </si>
  <si>
    <t>MW</t>
  </si>
  <si>
    <t>trans-hex-2-enal</t>
  </si>
  <si>
    <t>density in g/ml</t>
  </si>
  <si>
    <t>Amt</t>
  </si>
  <si>
    <t>total volume</t>
  </si>
  <si>
    <t>µL DMF</t>
  </si>
  <si>
    <t>unit</t>
  </si>
  <si>
    <t>A260 Abs</t>
  </si>
  <si>
    <t>A280 Abs</t>
  </si>
  <si>
    <t>260/280</t>
  </si>
  <si>
    <t>260/230</t>
  </si>
  <si>
    <t>Nucleic Acid conc in ng/µL</t>
  </si>
  <si>
    <t>LmrR_V15pAF_L9A</t>
  </si>
  <si>
    <t>LmrR_V15pAF_V99A</t>
  </si>
  <si>
    <t>LmrR_V15pAF_N14A</t>
  </si>
  <si>
    <t>LmrR_V15pAF_I16A</t>
  </si>
  <si>
    <t>LmrR_V15pAF_R10A</t>
  </si>
  <si>
    <t>LmrR_V15pAF_E104A</t>
  </si>
  <si>
    <t>LmrR_V15pAF_K101A</t>
  </si>
  <si>
    <t>NaBH4 for 22 samples in 0.5 wIv-% NaOH</t>
  </si>
  <si>
    <t>yield in mg per L culture*</t>
  </si>
  <si>
    <t>* assuming ~2mL final purified protein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</si>
</sst>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"/>
    <numFmt numFmtId="166" formatCode="0.000_ "/>
    <numFmt numFmtId="167" formatCode="0.00_ 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0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wrapText="1"/>
    </xf>
    <xf numFmtId="0" fontId="3" fillId="0" borderId="0" xfId="1"/>
    <xf numFmtId="164" fontId="2" fillId="0" borderId="2" xfId="1" applyNumberFormat="1" applyFont="1" applyFill="1" applyBorder="1" applyAlignment="1">
      <alignment horizontal="right" wrapText="1"/>
    </xf>
    <xf numFmtId="15" fontId="0" fillId="0" borderId="0" xfId="0" applyNumberFormat="1"/>
    <xf numFmtId="0" fontId="1" fillId="0" borderId="0" xfId="0" applyFont="1"/>
    <xf numFmtId="0" fontId="0" fillId="0" borderId="0" xfId="0"/>
    <xf numFmtId="0" fontId="4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0" borderId="0" xfId="0" applyFont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Alignment="1">
      <alignment vertical="center"/>
    </xf>
    <xf numFmtId="166" fontId="0" fillId="0" borderId="0" xfId="0" applyNumberFormat="1"/>
    <xf numFmtId="165" fontId="0" fillId="0" borderId="8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0" fontId="0" fillId="3" borderId="3" xfId="0" applyFill="1" applyBorder="1"/>
    <xf numFmtId="0" fontId="0" fillId="0" borderId="3" xfId="0" applyBorder="1"/>
    <xf numFmtId="165" fontId="0" fillId="0" borderId="3" xfId="0" applyNumberFormat="1" applyBorder="1"/>
    <xf numFmtId="2" fontId="0" fillId="3" borderId="3" xfId="0" applyNumberFormat="1" applyFill="1" applyBorder="1"/>
    <xf numFmtId="1" fontId="0" fillId="0" borderId="3" xfId="0" applyNumberFormat="1" applyBorder="1"/>
    <xf numFmtId="165" fontId="0" fillId="3" borderId="3" xfId="0" applyNumberFormat="1" applyFill="1" applyBorder="1"/>
    <xf numFmtId="1" fontId="0" fillId="3" borderId="3" xfId="0" applyNumberForma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165" fontId="0" fillId="4" borderId="8" xfId="0" applyNumberFormat="1" applyFill="1" applyBorder="1"/>
    <xf numFmtId="1" fontId="0" fillId="4" borderId="9" xfId="0" applyNumberFormat="1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165" fontId="0" fillId="4" borderId="0" xfId="0" applyNumberFormat="1" applyFill="1" applyBorder="1"/>
    <xf numFmtId="1" fontId="0" fillId="4" borderId="11" xfId="0" applyNumberFormat="1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3" xfId="0" applyFill="1" applyBorder="1"/>
    <xf numFmtId="165" fontId="0" fillId="4" borderId="13" xfId="0" applyNumberFormat="1" applyFill="1" applyBorder="1"/>
    <xf numFmtId="1" fontId="0" fillId="4" borderId="14" xfId="0" applyNumberFormat="1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8" xfId="0" applyFill="1" applyBorder="1"/>
    <xf numFmtId="165" fontId="0" fillId="5" borderId="8" xfId="0" applyNumberFormat="1" applyFill="1" applyBorder="1"/>
    <xf numFmtId="1" fontId="0" fillId="5" borderId="9" xfId="0" applyNumberFormat="1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 applyBorder="1"/>
    <xf numFmtId="165" fontId="0" fillId="5" borderId="0" xfId="0" applyNumberFormat="1" applyFill="1" applyBorder="1"/>
    <xf numFmtId="1" fontId="0" fillId="5" borderId="11" xfId="0" applyNumberFormat="1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3" xfId="0" applyFill="1" applyBorder="1"/>
    <xf numFmtId="165" fontId="0" fillId="5" borderId="13" xfId="0" applyNumberFormat="1" applyFill="1" applyBorder="1"/>
    <xf numFmtId="1" fontId="0" fillId="5" borderId="14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0" xfId="0" applyFill="1" applyBorder="1"/>
    <xf numFmtId="165" fontId="0" fillId="6" borderId="0" xfId="0" applyNumberFormat="1" applyFill="1" applyBorder="1"/>
    <xf numFmtId="1" fontId="0" fillId="6" borderId="11" xfId="0" applyNumberFormat="1" applyFill="1" applyBorder="1"/>
    <xf numFmtId="0" fontId="0" fillId="6" borderId="0" xfId="0" applyFill="1"/>
    <xf numFmtId="0" fontId="0" fillId="6" borderId="12" xfId="0" applyFill="1" applyBorder="1"/>
    <xf numFmtId="0" fontId="0" fillId="6" borderId="14" xfId="0" applyFill="1" applyBorder="1"/>
    <xf numFmtId="0" fontId="0" fillId="6" borderId="13" xfId="0" applyFill="1" applyBorder="1"/>
    <xf numFmtId="165" fontId="0" fillId="6" borderId="13" xfId="0" applyNumberFormat="1" applyFill="1" applyBorder="1"/>
    <xf numFmtId="1" fontId="0" fillId="6" borderId="14" xfId="0" applyNumberFormat="1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8" xfId="0" applyFill="1" applyBorder="1"/>
    <xf numFmtId="165" fontId="0" fillId="7" borderId="8" xfId="0" applyNumberFormat="1" applyFill="1" applyBorder="1"/>
    <xf numFmtId="1" fontId="0" fillId="7" borderId="9" xfId="0" applyNumberFormat="1" applyFill="1" applyBorder="1"/>
    <xf numFmtId="0" fontId="0" fillId="7" borderId="0" xfId="0" applyFill="1"/>
    <xf numFmtId="0" fontId="0" fillId="7" borderId="10" xfId="0" applyFill="1" applyBorder="1"/>
    <xf numFmtId="0" fontId="0" fillId="7" borderId="11" xfId="0" applyFill="1" applyBorder="1"/>
    <xf numFmtId="0" fontId="6" fillId="0" borderId="0" xfId="2"/>
    <xf numFmtId="167" fontId="6" fillId="0" borderId="0" xfId="2" applyNumberFormat="1"/>
    <xf numFmtId="0" fontId="0" fillId="0" borderId="0" xfId="0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167" fontId="6" fillId="0" borderId="0" xfId="2" applyNumberFormat="1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165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" xfId="2" xr:uid="{E5ED851C-4155-4BE8-9D0E-30671672815B}"/>
    <cellStyle name="Normal_Sheet1" xfId="1" xr:uid="{23A985EB-266C-43AD-AEA5-8572FC843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271B-3F8A-469A-8551-513CBBEC7C86}">
  <dimension ref="A2:O27"/>
  <sheetViews>
    <sheetView workbookViewId="0">
      <selection activeCell="G27" sqref="G27"/>
    </sheetView>
  </sheetViews>
  <sheetFormatPr defaultRowHeight="15"/>
  <cols>
    <col min="8" max="8" width="28.140625" customWidth="1"/>
  </cols>
  <sheetData>
    <row r="2" spans="1:15">
      <c r="A2" t="s">
        <v>0</v>
      </c>
    </row>
    <row r="4" spans="1: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5">
      <c r="A5" s="2"/>
      <c r="B5" s="3"/>
      <c r="C5" s="3"/>
      <c r="D5" s="2"/>
      <c r="E5" s="2"/>
      <c r="F5" s="2"/>
      <c r="G5" s="3"/>
      <c r="H5" s="3"/>
      <c r="I5" s="3"/>
      <c r="J5" s="3"/>
      <c r="K5" s="3"/>
      <c r="L5" s="3"/>
      <c r="M5" s="4"/>
      <c r="N5" s="3"/>
      <c r="O5" s="3"/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 ht="45">
      <c r="A7" s="2">
        <v>12751</v>
      </c>
      <c r="B7" s="3" t="s">
        <v>23</v>
      </c>
      <c r="C7" s="3" t="s">
        <v>24</v>
      </c>
      <c r="D7" s="2" t="s">
        <v>21</v>
      </c>
      <c r="E7" s="2" t="s">
        <v>18</v>
      </c>
      <c r="F7" s="2" t="s">
        <v>19</v>
      </c>
      <c r="G7" s="3" t="s">
        <v>25</v>
      </c>
      <c r="H7" s="3" t="s">
        <v>26</v>
      </c>
      <c r="I7" s="3" t="s">
        <v>27</v>
      </c>
      <c r="J7" s="3" t="s">
        <v>20</v>
      </c>
      <c r="K7" s="3" t="s">
        <v>20</v>
      </c>
      <c r="L7" s="3" t="s">
        <v>28</v>
      </c>
      <c r="M7" s="4"/>
      <c r="N7" s="3" t="s">
        <v>20</v>
      </c>
      <c r="O7" s="3" t="s">
        <v>20</v>
      </c>
    </row>
    <row r="8" spans="1:15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</row>
    <row r="9" spans="1:15">
      <c r="A9" s="2"/>
      <c r="B9" s="3"/>
      <c r="C9" s="3"/>
      <c r="D9" s="2"/>
      <c r="E9" s="2"/>
      <c r="F9" s="2"/>
      <c r="G9" s="3"/>
      <c r="H9" s="3"/>
      <c r="I9" s="3"/>
      <c r="J9" s="3"/>
      <c r="K9" s="3"/>
      <c r="L9" s="3"/>
      <c r="M9" s="4"/>
      <c r="N9" s="3"/>
      <c r="O9" s="3"/>
    </row>
    <row r="10" spans="1:15">
      <c r="A10" t="s">
        <v>51</v>
      </c>
    </row>
    <row r="11" spans="1:1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</row>
    <row r="12" spans="1:15">
      <c r="A12">
        <v>10128</v>
      </c>
      <c r="B12" t="s">
        <v>16</v>
      </c>
      <c r="C12" t="s">
        <v>17</v>
      </c>
      <c r="D12" t="s">
        <v>21</v>
      </c>
      <c r="E12" t="s">
        <v>21</v>
      </c>
      <c r="F12">
        <v>2</v>
      </c>
      <c r="G12" t="s">
        <v>31</v>
      </c>
      <c r="H12" t="s">
        <v>32</v>
      </c>
      <c r="M12" s="6">
        <v>43444</v>
      </c>
      <c r="N12" t="s">
        <v>33</v>
      </c>
    </row>
    <row r="13" spans="1:1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  <c r="J13" s="1" t="s">
        <v>10</v>
      </c>
      <c r="K13" s="1" t="s">
        <v>11</v>
      </c>
      <c r="L13" s="1" t="s">
        <v>12</v>
      </c>
      <c r="M13" s="1" t="s">
        <v>13</v>
      </c>
      <c r="N13" s="1" t="s">
        <v>14</v>
      </c>
      <c r="O13" s="1" t="s">
        <v>15</v>
      </c>
    </row>
    <row r="14" spans="1:15" ht="45">
      <c r="A14" s="2">
        <v>10128</v>
      </c>
      <c r="B14" s="3" t="s">
        <v>16</v>
      </c>
      <c r="C14" s="3" t="s">
        <v>17</v>
      </c>
      <c r="D14" s="2" t="s">
        <v>21</v>
      </c>
      <c r="E14" s="2" t="s">
        <v>21</v>
      </c>
      <c r="F14" s="2" t="s">
        <v>30</v>
      </c>
      <c r="G14" s="3" t="s">
        <v>31</v>
      </c>
      <c r="H14" s="3" t="s">
        <v>32</v>
      </c>
      <c r="I14" s="3" t="s">
        <v>20</v>
      </c>
      <c r="J14" s="3" t="s">
        <v>20</v>
      </c>
      <c r="K14" s="3" t="s">
        <v>20</v>
      </c>
      <c r="L14" s="3" t="s">
        <v>20</v>
      </c>
      <c r="M14" s="5">
        <v>43444</v>
      </c>
      <c r="N14" s="3" t="s">
        <v>33</v>
      </c>
      <c r="O14" s="3" t="s">
        <v>20</v>
      </c>
    </row>
    <row r="15" spans="1:15" ht="45">
      <c r="A15" s="2">
        <v>10129</v>
      </c>
      <c r="B15" s="3" t="s">
        <v>16</v>
      </c>
      <c r="C15" s="3" t="s">
        <v>17</v>
      </c>
      <c r="D15" s="2" t="s">
        <v>21</v>
      </c>
      <c r="E15" s="2" t="s">
        <v>21</v>
      </c>
      <c r="F15" s="2" t="s">
        <v>19</v>
      </c>
      <c r="G15" s="3" t="s">
        <v>31</v>
      </c>
      <c r="H15" s="3" t="s">
        <v>34</v>
      </c>
      <c r="I15" s="3" t="s">
        <v>20</v>
      </c>
      <c r="J15" s="3" t="s">
        <v>20</v>
      </c>
      <c r="K15" s="3" t="s">
        <v>20</v>
      </c>
      <c r="L15" s="3" t="s">
        <v>20</v>
      </c>
      <c r="M15" s="5">
        <v>43444</v>
      </c>
      <c r="N15" s="3" t="s">
        <v>33</v>
      </c>
      <c r="O15" s="3" t="s">
        <v>20</v>
      </c>
    </row>
    <row r="16" spans="1:15" ht="45">
      <c r="A16" s="2">
        <v>10130</v>
      </c>
      <c r="B16" s="3" t="s">
        <v>16</v>
      </c>
      <c r="C16" s="3" t="s">
        <v>17</v>
      </c>
      <c r="D16" s="2" t="s">
        <v>21</v>
      </c>
      <c r="E16" s="2" t="s">
        <v>21</v>
      </c>
      <c r="F16" s="2" t="s">
        <v>22</v>
      </c>
      <c r="G16" s="3" t="s">
        <v>31</v>
      </c>
      <c r="H16" s="3" t="s">
        <v>35</v>
      </c>
      <c r="I16" s="3" t="s">
        <v>20</v>
      </c>
      <c r="J16" s="3" t="s">
        <v>20</v>
      </c>
      <c r="K16" s="3" t="s">
        <v>20</v>
      </c>
      <c r="L16" s="3" t="s">
        <v>20</v>
      </c>
      <c r="M16" s="5">
        <v>43444</v>
      </c>
      <c r="N16" s="3" t="s">
        <v>33</v>
      </c>
      <c r="O16" s="3" t="s">
        <v>20</v>
      </c>
    </row>
    <row r="17" spans="1:15" ht="45">
      <c r="A17" s="2">
        <v>10131</v>
      </c>
      <c r="B17" s="3" t="s">
        <v>16</v>
      </c>
      <c r="C17" s="3" t="s">
        <v>17</v>
      </c>
      <c r="D17" s="2" t="s">
        <v>21</v>
      </c>
      <c r="E17" s="2" t="s">
        <v>21</v>
      </c>
      <c r="F17" s="2" t="s">
        <v>36</v>
      </c>
      <c r="G17" s="3" t="s">
        <v>31</v>
      </c>
      <c r="H17" s="3" t="s">
        <v>37</v>
      </c>
      <c r="I17" s="3" t="s">
        <v>20</v>
      </c>
      <c r="J17" s="3" t="s">
        <v>20</v>
      </c>
      <c r="K17" s="3" t="s">
        <v>20</v>
      </c>
      <c r="L17" s="3" t="s">
        <v>20</v>
      </c>
      <c r="M17" s="5">
        <v>43446</v>
      </c>
      <c r="N17" s="3" t="s">
        <v>33</v>
      </c>
      <c r="O17" s="3" t="s">
        <v>20</v>
      </c>
    </row>
    <row r="18" spans="1:15" ht="45">
      <c r="A18" s="2">
        <v>10132</v>
      </c>
      <c r="B18" s="3" t="s">
        <v>16</v>
      </c>
      <c r="C18" s="3" t="s">
        <v>17</v>
      </c>
      <c r="D18" s="2" t="s">
        <v>21</v>
      </c>
      <c r="E18" s="2" t="s">
        <v>21</v>
      </c>
      <c r="F18" s="2" t="s">
        <v>38</v>
      </c>
      <c r="G18" s="3" t="s">
        <v>31</v>
      </c>
      <c r="H18" s="3" t="s">
        <v>39</v>
      </c>
      <c r="I18" s="3" t="s">
        <v>20</v>
      </c>
      <c r="J18" s="3" t="s">
        <v>20</v>
      </c>
      <c r="K18" s="3" t="s">
        <v>20</v>
      </c>
      <c r="L18" s="3" t="s">
        <v>20</v>
      </c>
      <c r="M18" s="5">
        <v>43446</v>
      </c>
      <c r="N18" s="3" t="s">
        <v>33</v>
      </c>
      <c r="O18" s="3" t="s">
        <v>20</v>
      </c>
    </row>
    <row r="19" spans="1:15" ht="45">
      <c r="A19" s="2">
        <v>10133</v>
      </c>
      <c r="B19" s="3" t="s">
        <v>16</v>
      </c>
      <c r="C19" s="3" t="s">
        <v>17</v>
      </c>
      <c r="D19" s="2" t="s">
        <v>21</v>
      </c>
      <c r="E19" s="2" t="s">
        <v>21</v>
      </c>
      <c r="F19" s="2" t="s">
        <v>40</v>
      </c>
      <c r="G19" s="3" t="s">
        <v>31</v>
      </c>
      <c r="H19" s="3" t="s">
        <v>41</v>
      </c>
      <c r="I19" s="3" t="s">
        <v>20</v>
      </c>
      <c r="J19" s="3" t="s">
        <v>20</v>
      </c>
      <c r="K19" s="3" t="s">
        <v>20</v>
      </c>
      <c r="L19" s="3" t="s">
        <v>20</v>
      </c>
      <c r="M19" s="5">
        <v>43446</v>
      </c>
      <c r="N19" s="3" t="s">
        <v>33</v>
      </c>
      <c r="O19" s="3" t="s">
        <v>20</v>
      </c>
    </row>
    <row r="20" spans="1:15" ht="45">
      <c r="A20" s="2">
        <v>10134</v>
      </c>
      <c r="B20" s="3" t="s">
        <v>16</v>
      </c>
      <c r="C20" s="3" t="s">
        <v>17</v>
      </c>
      <c r="D20" s="2" t="s">
        <v>21</v>
      </c>
      <c r="E20" s="2" t="s">
        <v>21</v>
      </c>
      <c r="F20" s="2" t="s">
        <v>42</v>
      </c>
      <c r="G20" s="3" t="s">
        <v>31</v>
      </c>
      <c r="H20" s="3" t="s">
        <v>43</v>
      </c>
      <c r="I20" s="3" t="s">
        <v>20</v>
      </c>
      <c r="J20" s="3" t="s">
        <v>20</v>
      </c>
      <c r="K20" s="3" t="s">
        <v>20</v>
      </c>
      <c r="L20" s="3" t="s">
        <v>20</v>
      </c>
      <c r="M20" s="5">
        <v>43451</v>
      </c>
      <c r="N20" s="3" t="s">
        <v>33</v>
      </c>
      <c r="O20" s="3" t="s">
        <v>20</v>
      </c>
    </row>
    <row r="21" spans="1:15" ht="45">
      <c r="A21" s="2">
        <v>10135</v>
      </c>
      <c r="B21" s="3" t="s">
        <v>16</v>
      </c>
      <c r="C21" s="3" t="s">
        <v>17</v>
      </c>
      <c r="D21" s="2" t="s">
        <v>21</v>
      </c>
      <c r="E21" s="2" t="s">
        <v>21</v>
      </c>
      <c r="F21" s="2" t="s">
        <v>44</v>
      </c>
      <c r="G21" s="3" t="s">
        <v>31</v>
      </c>
      <c r="H21" s="3" t="s">
        <v>45</v>
      </c>
      <c r="I21" s="3" t="s">
        <v>20</v>
      </c>
      <c r="J21" s="3" t="s">
        <v>20</v>
      </c>
      <c r="K21" s="3" t="s">
        <v>20</v>
      </c>
      <c r="L21" s="3" t="s">
        <v>20</v>
      </c>
      <c r="M21" s="5">
        <v>43451</v>
      </c>
      <c r="N21" s="3" t="s">
        <v>33</v>
      </c>
      <c r="O21" s="3" t="s">
        <v>20</v>
      </c>
    </row>
    <row r="22" spans="1:15" ht="45">
      <c r="A22" s="2">
        <v>10136</v>
      </c>
      <c r="B22" s="3" t="s">
        <v>16</v>
      </c>
      <c r="C22" s="3" t="s">
        <v>17</v>
      </c>
      <c r="D22" s="2" t="s">
        <v>21</v>
      </c>
      <c r="E22" s="2" t="s">
        <v>46</v>
      </c>
      <c r="F22" s="2" t="s">
        <v>29</v>
      </c>
      <c r="G22" s="3" t="s">
        <v>31</v>
      </c>
      <c r="H22" s="3" t="s">
        <v>47</v>
      </c>
      <c r="I22" s="3" t="s">
        <v>20</v>
      </c>
      <c r="J22" s="3" t="s">
        <v>20</v>
      </c>
      <c r="K22" s="3" t="s">
        <v>20</v>
      </c>
      <c r="L22" s="3" t="s">
        <v>20</v>
      </c>
      <c r="M22" s="5">
        <v>43451</v>
      </c>
      <c r="N22" s="3" t="s">
        <v>33</v>
      </c>
      <c r="O22" s="3" t="s">
        <v>20</v>
      </c>
    </row>
    <row r="23" spans="1:15" ht="45">
      <c r="A23" s="2">
        <v>10137</v>
      </c>
      <c r="B23" s="3" t="s">
        <v>16</v>
      </c>
      <c r="C23" s="3" t="s">
        <v>17</v>
      </c>
      <c r="D23" s="2" t="s">
        <v>21</v>
      </c>
      <c r="E23" s="2" t="s">
        <v>46</v>
      </c>
      <c r="F23" s="2" t="s">
        <v>30</v>
      </c>
      <c r="G23" s="3" t="s">
        <v>31</v>
      </c>
      <c r="H23" s="3" t="s">
        <v>48</v>
      </c>
      <c r="I23" s="3" t="s">
        <v>20</v>
      </c>
      <c r="J23" s="3" t="s">
        <v>20</v>
      </c>
      <c r="K23" s="3" t="s">
        <v>20</v>
      </c>
      <c r="L23" s="3" t="s">
        <v>20</v>
      </c>
      <c r="M23" s="5">
        <v>43451</v>
      </c>
      <c r="N23" s="3" t="s">
        <v>33</v>
      </c>
      <c r="O23" s="3" t="s">
        <v>20</v>
      </c>
    </row>
    <row r="24" spans="1:15" ht="45">
      <c r="A24" s="2">
        <v>10138</v>
      </c>
      <c r="B24" s="3" t="s">
        <v>16</v>
      </c>
      <c r="C24" s="3" t="s">
        <v>17</v>
      </c>
      <c r="D24" s="2" t="s">
        <v>21</v>
      </c>
      <c r="E24" s="2" t="s">
        <v>46</v>
      </c>
      <c r="F24" s="2" t="s">
        <v>19</v>
      </c>
      <c r="G24" s="3" t="s">
        <v>31</v>
      </c>
      <c r="H24" s="3" t="s">
        <v>49</v>
      </c>
      <c r="I24" s="3" t="s">
        <v>20</v>
      </c>
      <c r="J24" s="3" t="s">
        <v>20</v>
      </c>
      <c r="K24" s="3" t="s">
        <v>20</v>
      </c>
      <c r="L24" s="3" t="s">
        <v>20</v>
      </c>
      <c r="M24" s="5">
        <v>43451</v>
      </c>
      <c r="N24" s="3" t="s">
        <v>33</v>
      </c>
      <c r="O24" s="3" t="s">
        <v>20</v>
      </c>
    </row>
    <row r="25" spans="1:15" ht="45">
      <c r="A25" s="2">
        <v>10139</v>
      </c>
      <c r="B25" s="3" t="s">
        <v>16</v>
      </c>
      <c r="C25" s="3" t="s">
        <v>17</v>
      </c>
      <c r="D25" s="2" t="s">
        <v>21</v>
      </c>
      <c r="E25" s="2" t="s">
        <v>46</v>
      </c>
      <c r="F25" s="2" t="s">
        <v>22</v>
      </c>
      <c r="G25" s="3" t="s">
        <v>31</v>
      </c>
      <c r="H25" s="3" t="s">
        <v>50</v>
      </c>
      <c r="I25" s="3" t="s">
        <v>20</v>
      </c>
      <c r="J25" s="3" t="s">
        <v>20</v>
      </c>
      <c r="K25" s="3" t="s">
        <v>20</v>
      </c>
      <c r="L25" s="3" t="s">
        <v>20</v>
      </c>
      <c r="M25" s="5">
        <v>43452</v>
      </c>
      <c r="N25" s="3" t="s">
        <v>33</v>
      </c>
      <c r="O25" s="3" t="s">
        <v>20</v>
      </c>
    </row>
    <row r="26" spans="1:1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13</v>
      </c>
      <c r="N26" s="1" t="s">
        <v>14</v>
      </c>
      <c r="O26" s="1" t="s">
        <v>15</v>
      </c>
    </row>
    <row r="27" spans="1:15" ht="75">
      <c r="A27" s="2">
        <v>11436</v>
      </c>
      <c r="B27" s="3" t="s">
        <v>16</v>
      </c>
      <c r="C27" s="3" t="s">
        <v>17</v>
      </c>
      <c r="D27" s="2" t="s">
        <v>46</v>
      </c>
      <c r="E27" s="2" t="s">
        <v>229</v>
      </c>
      <c r="F27" s="2" t="s">
        <v>29</v>
      </c>
      <c r="G27" s="3" t="s">
        <v>230</v>
      </c>
      <c r="H27" s="3" t="s">
        <v>231</v>
      </c>
      <c r="I27" s="3" t="s">
        <v>232</v>
      </c>
      <c r="J27" s="3" t="s">
        <v>20</v>
      </c>
      <c r="K27" s="3" t="s">
        <v>20</v>
      </c>
      <c r="L27" s="3" t="s">
        <v>20</v>
      </c>
      <c r="M27" s="4"/>
      <c r="N27" s="3" t="s">
        <v>20</v>
      </c>
      <c r="O27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F750-AEB8-4E32-B025-B3C0C5F60248}">
  <dimension ref="A1:G24"/>
  <sheetViews>
    <sheetView workbookViewId="0">
      <selection activeCell="A24" sqref="A24"/>
    </sheetView>
  </sheetViews>
  <sheetFormatPr defaultRowHeight="15"/>
  <cols>
    <col min="1" max="1" width="17.28515625" customWidth="1"/>
    <col min="2" max="2" width="51.42578125" customWidth="1"/>
    <col min="3" max="3" width="29.5703125" customWidth="1"/>
  </cols>
  <sheetData>
    <row r="1" spans="1:7">
      <c r="A1" t="s">
        <v>52</v>
      </c>
    </row>
    <row r="3" spans="1:7">
      <c r="A3" t="s">
        <v>53</v>
      </c>
      <c r="B3" t="s">
        <v>54</v>
      </c>
      <c r="C3" t="s">
        <v>59</v>
      </c>
      <c r="D3" t="s">
        <v>60</v>
      </c>
    </row>
    <row r="4" spans="1:7">
      <c r="A4" t="s">
        <v>55</v>
      </c>
      <c r="B4" t="s">
        <v>56</v>
      </c>
      <c r="C4">
        <v>60.5</v>
      </c>
      <c r="D4">
        <v>53</v>
      </c>
      <c r="F4">
        <f>AVERAGE($C$4:$C$17)-C4</f>
        <v>0.8928571428571459</v>
      </c>
      <c r="G4">
        <f>AVERAGE($D$4:$D$17)-D4</f>
        <v>0.1071428571428541</v>
      </c>
    </row>
    <row r="5" spans="1:7">
      <c r="A5" t="s">
        <v>58</v>
      </c>
      <c r="B5" t="s">
        <v>57</v>
      </c>
      <c r="C5">
        <v>62.5</v>
      </c>
      <c r="D5">
        <v>55</v>
      </c>
      <c r="F5">
        <f t="shared" ref="F5:F17" si="0">AVERAGE($C$4:$C$17)-C5</f>
        <v>-1.1071428571428541</v>
      </c>
      <c r="G5">
        <f t="shared" ref="G5:G17" si="1">AVERAGE($D$4:$D$17)-D5</f>
        <v>-1.8928571428571459</v>
      </c>
    </row>
    <row r="6" spans="1:7">
      <c r="A6" t="s">
        <v>61</v>
      </c>
      <c r="B6" t="s">
        <v>62</v>
      </c>
      <c r="C6">
        <v>59.5</v>
      </c>
      <c r="D6">
        <v>53</v>
      </c>
      <c r="F6">
        <f t="shared" si="0"/>
        <v>1.8928571428571459</v>
      </c>
      <c r="G6">
        <f t="shared" si="1"/>
        <v>0.1071428571428541</v>
      </c>
    </row>
    <row r="7" spans="1:7">
      <c r="A7" t="s">
        <v>63</v>
      </c>
      <c r="B7" t="s">
        <v>64</v>
      </c>
      <c r="C7">
        <v>62</v>
      </c>
      <c r="D7">
        <v>51.5</v>
      </c>
      <c r="F7">
        <f t="shared" si="0"/>
        <v>-0.6071428571428541</v>
      </c>
      <c r="G7">
        <f t="shared" si="1"/>
        <v>1.6071428571428541</v>
      </c>
    </row>
    <row r="8" spans="1:7">
      <c r="A8" t="s">
        <v>65</v>
      </c>
      <c r="B8" t="s">
        <v>67</v>
      </c>
      <c r="C8">
        <v>60.5</v>
      </c>
      <c r="D8">
        <v>52</v>
      </c>
      <c r="F8">
        <f t="shared" si="0"/>
        <v>0.8928571428571459</v>
      </c>
      <c r="G8">
        <f t="shared" si="1"/>
        <v>1.1071428571428541</v>
      </c>
    </row>
    <row r="9" spans="1:7">
      <c r="A9" t="s">
        <v>66</v>
      </c>
      <c r="B9" t="s">
        <v>68</v>
      </c>
      <c r="C9">
        <v>61</v>
      </c>
      <c r="D9">
        <v>52.5</v>
      </c>
      <c r="F9">
        <f t="shared" si="0"/>
        <v>0.3928571428571459</v>
      </c>
      <c r="G9">
        <f t="shared" si="1"/>
        <v>0.6071428571428541</v>
      </c>
    </row>
    <row r="10" spans="1:7">
      <c r="A10" t="s">
        <v>69</v>
      </c>
      <c r="B10" t="s">
        <v>70</v>
      </c>
      <c r="C10">
        <v>62</v>
      </c>
      <c r="D10">
        <v>54.5</v>
      </c>
      <c r="F10">
        <f t="shared" si="0"/>
        <v>-0.6071428571428541</v>
      </c>
      <c r="G10">
        <f t="shared" si="1"/>
        <v>-1.3928571428571459</v>
      </c>
    </row>
    <row r="11" spans="1:7">
      <c r="A11" t="s">
        <v>71</v>
      </c>
      <c r="B11" t="s">
        <v>72</v>
      </c>
      <c r="C11">
        <v>62.5</v>
      </c>
      <c r="D11">
        <v>51.5</v>
      </c>
      <c r="F11">
        <f t="shared" si="0"/>
        <v>-1.1071428571428541</v>
      </c>
      <c r="G11">
        <f t="shared" si="1"/>
        <v>1.6071428571428541</v>
      </c>
    </row>
    <row r="12" spans="1:7">
      <c r="A12" t="s">
        <v>73</v>
      </c>
      <c r="B12" t="s">
        <v>74</v>
      </c>
      <c r="C12">
        <v>61.5</v>
      </c>
      <c r="D12">
        <v>53</v>
      </c>
      <c r="F12">
        <f t="shared" si="0"/>
        <v>-0.1071428571428541</v>
      </c>
      <c r="G12">
        <f t="shared" si="1"/>
        <v>0.1071428571428541</v>
      </c>
    </row>
    <row r="13" spans="1:7">
      <c r="A13" t="s">
        <v>75</v>
      </c>
      <c r="B13" t="s">
        <v>76</v>
      </c>
      <c r="C13">
        <v>63.5</v>
      </c>
      <c r="D13">
        <v>54</v>
      </c>
      <c r="F13">
        <f t="shared" si="0"/>
        <v>-2.1071428571428541</v>
      </c>
      <c r="G13">
        <f t="shared" si="1"/>
        <v>-0.8928571428571459</v>
      </c>
    </row>
    <row r="14" spans="1:7">
      <c r="A14" t="s">
        <v>77</v>
      </c>
      <c r="B14" t="s">
        <v>78</v>
      </c>
      <c r="C14">
        <v>62</v>
      </c>
      <c r="D14">
        <v>55</v>
      </c>
      <c r="F14">
        <f t="shared" si="0"/>
        <v>-0.6071428571428541</v>
      </c>
      <c r="G14">
        <f t="shared" si="1"/>
        <v>-1.8928571428571459</v>
      </c>
    </row>
    <row r="15" spans="1:7">
      <c r="A15" t="s">
        <v>79</v>
      </c>
      <c r="B15" t="s">
        <v>80</v>
      </c>
      <c r="C15">
        <v>61.5</v>
      </c>
      <c r="D15">
        <v>53</v>
      </c>
      <c r="F15">
        <f t="shared" si="0"/>
        <v>-0.1071428571428541</v>
      </c>
      <c r="G15">
        <f t="shared" si="1"/>
        <v>0.1071428571428541</v>
      </c>
    </row>
    <row r="16" spans="1:7">
      <c r="A16" s="7" t="s">
        <v>81</v>
      </c>
      <c r="B16" s="7" t="s">
        <v>82</v>
      </c>
      <c r="C16" s="7">
        <v>60</v>
      </c>
      <c r="D16" s="7">
        <v>53</v>
      </c>
      <c r="E16" s="7"/>
      <c r="F16" s="7">
        <f>AVERAGE($C$4:$C$17)-C16</f>
        <v>1.3928571428571459</v>
      </c>
      <c r="G16" s="7">
        <f t="shared" si="1"/>
        <v>0.1071428571428541</v>
      </c>
    </row>
    <row r="17" spans="1:7">
      <c r="A17" t="s">
        <v>83</v>
      </c>
      <c r="B17" t="s">
        <v>84</v>
      </c>
      <c r="C17">
        <v>60.5</v>
      </c>
      <c r="D17">
        <v>52.5</v>
      </c>
      <c r="F17">
        <f t="shared" si="0"/>
        <v>0.8928571428571459</v>
      </c>
      <c r="G17">
        <f t="shared" si="1"/>
        <v>0.6071428571428541</v>
      </c>
    </row>
    <row r="19" spans="1:7">
      <c r="C19">
        <f>AVERAGE(C4:C17)</f>
        <v>61.392857142857146</v>
      </c>
      <c r="D19">
        <f>AVERAGE(D4:D17)</f>
        <v>53.107142857142854</v>
      </c>
    </row>
    <row r="23" spans="1:7">
      <c r="A23" t="s">
        <v>103</v>
      </c>
    </row>
    <row r="24" spans="1:7">
      <c r="A24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0F2F-999B-4175-8A5B-3C71B77C9497}">
  <dimension ref="A1:Q48"/>
  <sheetViews>
    <sheetView tabSelected="1" workbookViewId="0">
      <selection activeCell="L15" sqref="L15"/>
    </sheetView>
  </sheetViews>
  <sheetFormatPr defaultRowHeight="15"/>
  <cols>
    <col min="1" max="1" width="45.5703125" customWidth="1"/>
    <col min="3" max="3" width="18.85546875" customWidth="1"/>
    <col min="4" max="4" width="18.42578125" customWidth="1"/>
    <col min="5" max="5" width="18.7109375" customWidth="1"/>
    <col min="6" max="6" width="18.28515625" customWidth="1"/>
    <col min="7" max="7" width="18.5703125" customWidth="1"/>
    <col min="13" max="13" width="8.5703125" customWidth="1"/>
    <col min="14" max="14" width="7.85546875" customWidth="1"/>
    <col min="16" max="16" width="15.7109375" customWidth="1"/>
    <col min="17" max="17" width="17.28515625" customWidth="1"/>
  </cols>
  <sheetData>
    <row r="1" spans="1:17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7">
      <c r="A2" s="8"/>
      <c r="B2" s="8"/>
      <c r="C2" s="94" t="s">
        <v>90</v>
      </c>
      <c r="D2" s="94"/>
      <c r="E2" s="8" t="s">
        <v>92</v>
      </c>
      <c r="F2" s="8" t="s">
        <v>93</v>
      </c>
      <c r="G2" s="8"/>
      <c r="H2" s="8" t="s">
        <v>233</v>
      </c>
      <c r="I2" s="8" t="s">
        <v>234</v>
      </c>
      <c r="J2" s="8" t="s">
        <v>235</v>
      </c>
      <c r="K2" s="8" t="s">
        <v>236</v>
      </c>
      <c r="L2" t="s">
        <v>300</v>
      </c>
      <c r="N2" s="8"/>
      <c r="O2" s="8" t="s">
        <v>97</v>
      </c>
      <c r="P2" s="8" t="s">
        <v>99</v>
      </c>
      <c r="Q2" s="8" t="s">
        <v>98</v>
      </c>
    </row>
    <row r="3" spans="1:17">
      <c r="A3" s="8" t="s">
        <v>86</v>
      </c>
      <c r="B3" s="8" t="s">
        <v>87</v>
      </c>
      <c r="C3" s="8" t="s">
        <v>88</v>
      </c>
      <c r="D3" s="8" t="s">
        <v>89</v>
      </c>
      <c r="E3" s="8" t="s">
        <v>91</v>
      </c>
      <c r="F3" s="8" t="s">
        <v>91</v>
      </c>
      <c r="G3" s="8" t="s">
        <v>94</v>
      </c>
      <c r="H3" s="8"/>
      <c r="I3" s="8"/>
      <c r="J3" s="8"/>
      <c r="K3" s="8"/>
      <c r="N3" s="8" t="s">
        <v>95</v>
      </c>
      <c r="O3" s="8">
        <v>180.2</v>
      </c>
      <c r="P3" s="8">
        <v>162.19999999999999</v>
      </c>
      <c r="Q3" s="8">
        <v>1333</v>
      </c>
    </row>
    <row r="4" spans="1:17">
      <c r="A4" s="8"/>
      <c r="B4" s="8"/>
      <c r="C4" s="8"/>
      <c r="D4" s="8"/>
      <c r="E4" s="8"/>
      <c r="F4" s="8"/>
      <c r="G4" s="8"/>
      <c r="H4" s="8"/>
      <c r="I4" s="8"/>
      <c r="J4" s="8"/>
      <c r="K4" s="8"/>
      <c r="N4" s="8" t="s">
        <v>96</v>
      </c>
      <c r="O4" s="8">
        <v>206.2</v>
      </c>
      <c r="P4" s="8">
        <v>188.2</v>
      </c>
      <c r="Q4" s="8"/>
    </row>
    <row r="5" spans="1:17">
      <c r="A5" s="8" t="s">
        <v>100</v>
      </c>
      <c r="B5" s="8" t="s">
        <v>95</v>
      </c>
      <c r="C5" s="26">
        <v>14871.67</v>
      </c>
      <c r="D5" s="26">
        <v>25440</v>
      </c>
      <c r="E5" s="8">
        <f t="shared" ref="E5:E19" si="0">C5+$P$3</f>
        <v>15033.87</v>
      </c>
      <c r="F5" s="8">
        <f t="shared" ref="F5:F25" si="1">E5*2</f>
        <v>30067.74</v>
      </c>
      <c r="G5" s="8">
        <f t="shared" ref="G5:G19" si="2">D5*2+2*$Q$3</f>
        <v>53546</v>
      </c>
      <c r="H5" s="8">
        <v>6.3810000000000002</v>
      </c>
      <c r="I5" s="8">
        <v>0.65</v>
      </c>
      <c r="J5" s="8"/>
      <c r="K5" s="104">
        <f t="shared" ref="K5:K25" si="3">H5/G5*1000000</f>
        <v>119.16856534568409</v>
      </c>
      <c r="L5" s="105">
        <f>K5*F5/1000*0.002/0.1</f>
        <v>71.662588779740787</v>
      </c>
      <c r="M5" s="8"/>
      <c r="N5" s="8"/>
      <c r="O5" s="8"/>
    </row>
    <row r="6" spans="1:17">
      <c r="A6" s="8" t="s">
        <v>101</v>
      </c>
      <c r="B6" s="8" t="s">
        <v>95</v>
      </c>
      <c r="C6" s="26">
        <v>14756.54</v>
      </c>
      <c r="D6" s="26">
        <v>19940</v>
      </c>
      <c r="E6" s="8">
        <f t="shared" si="0"/>
        <v>14918.740000000002</v>
      </c>
      <c r="F6" s="8">
        <f t="shared" si="1"/>
        <v>29837.480000000003</v>
      </c>
      <c r="G6" s="8">
        <f t="shared" si="2"/>
        <v>42546</v>
      </c>
      <c r="H6" s="8">
        <v>5.0620000000000003</v>
      </c>
      <c r="I6" s="8">
        <v>0.63</v>
      </c>
      <c r="J6" s="8"/>
      <c r="K6" s="104">
        <f t="shared" si="3"/>
        <v>118.97710713110516</v>
      </c>
      <c r="L6" s="105">
        <f t="shared" ref="L6:L25" si="4">K6*F6/1000*0.002/0.1</f>
        <v>70.999541089644154</v>
      </c>
      <c r="M6" s="8"/>
      <c r="N6" s="8"/>
      <c r="O6" s="8"/>
    </row>
    <row r="7" spans="1:17">
      <c r="A7" s="8" t="s">
        <v>237</v>
      </c>
      <c r="B7" s="8" t="s">
        <v>95</v>
      </c>
      <c r="C7" s="8">
        <v>14813.63</v>
      </c>
      <c r="D7" s="8">
        <v>25440</v>
      </c>
      <c r="E7" s="8">
        <f t="shared" si="0"/>
        <v>14975.83</v>
      </c>
      <c r="F7" s="8">
        <f t="shared" si="1"/>
        <v>29951.66</v>
      </c>
      <c r="G7" s="8">
        <f t="shared" si="2"/>
        <v>53546</v>
      </c>
      <c r="H7" s="8">
        <v>3.8029999999999999</v>
      </c>
      <c r="I7" s="8">
        <v>0.57999999999999996</v>
      </c>
      <c r="J7" s="8"/>
      <c r="K7" s="104">
        <f t="shared" si="3"/>
        <v>71.023045605647468</v>
      </c>
      <c r="L7" s="105">
        <f t="shared" si="4"/>
        <v>42.545162282896932</v>
      </c>
      <c r="M7" s="8"/>
      <c r="N7" s="8"/>
      <c r="O7" s="8"/>
    </row>
    <row r="8" spans="1:17">
      <c r="A8" s="8" t="s">
        <v>238</v>
      </c>
      <c r="B8" s="8" t="s">
        <v>95</v>
      </c>
      <c r="C8" s="8">
        <v>14913.75</v>
      </c>
      <c r="D8" s="8">
        <v>25440</v>
      </c>
      <c r="E8" s="8">
        <f t="shared" si="0"/>
        <v>15075.95</v>
      </c>
      <c r="F8" s="8">
        <f t="shared" si="1"/>
        <v>30151.9</v>
      </c>
      <c r="G8" s="8">
        <f t="shared" si="2"/>
        <v>53546</v>
      </c>
      <c r="H8" s="8">
        <v>3.694</v>
      </c>
      <c r="I8" s="8">
        <v>0.75</v>
      </c>
      <c r="J8" s="8"/>
      <c r="K8" s="104">
        <f t="shared" si="3"/>
        <v>68.98741269189108</v>
      </c>
      <c r="L8" s="105">
        <f t="shared" si="4"/>
        <v>41.602031374892604</v>
      </c>
      <c r="M8" s="8"/>
      <c r="N8" s="8"/>
      <c r="O8" s="8"/>
    </row>
    <row r="9" spans="1:17">
      <c r="A9" s="8" t="s">
        <v>239</v>
      </c>
      <c r="B9" s="8" t="s">
        <v>95</v>
      </c>
      <c r="C9" s="8">
        <v>14829.59</v>
      </c>
      <c r="D9" s="8">
        <v>25440</v>
      </c>
      <c r="E9" s="8">
        <f t="shared" si="0"/>
        <v>14991.79</v>
      </c>
      <c r="F9" s="8">
        <f t="shared" si="1"/>
        <v>29983.58</v>
      </c>
      <c r="G9" s="8">
        <f t="shared" si="2"/>
        <v>53546</v>
      </c>
      <c r="H9" s="8">
        <v>4.3259999999999996</v>
      </c>
      <c r="I9" s="8">
        <v>0.68</v>
      </c>
      <c r="J9" s="8"/>
      <c r="K9" s="104">
        <f t="shared" si="3"/>
        <v>80.790348485414398</v>
      </c>
      <c r="L9" s="105">
        <f t="shared" si="4"/>
        <v>48.447677540806019</v>
      </c>
      <c r="M9" s="8"/>
      <c r="N9" s="8"/>
      <c r="O9" s="8"/>
    </row>
    <row r="10" spans="1:17">
      <c r="A10" s="8" t="s">
        <v>240</v>
      </c>
      <c r="B10" s="8" t="s">
        <v>95</v>
      </c>
      <c r="C10" s="8">
        <v>14828.65</v>
      </c>
      <c r="D10" s="8">
        <v>25440</v>
      </c>
      <c r="E10" s="8">
        <f t="shared" si="0"/>
        <v>14990.85</v>
      </c>
      <c r="F10" s="8">
        <f t="shared" si="1"/>
        <v>29981.7</v>
      </c>
      <c r="G10" s="8">
        <f t="shared" si="2"/>
        <v>53546</v>
      </c>
      <c r="H10" s="8">
        <v>5.7169999999999996</v>
      </c>
      <c r="I10" s="8">
        <v>0.75</v>
      </c>
      <c r="J10" s="8"/>
      <c r="K10" s="104">
        <f t="shared" si="3"/>
        <v>106.76801254995704</v>
      </c>
      <c r="L10" s="105">
        <f t="shared" si="4"/>
        <v>64.021730437380938</v>
      </c>
      <c r="M10" s="8"/>
      <c r="N10" s="8"/>
      <c r="O10" s="8"/>
    </row>
    <row r="11" spans="1:17">
      <c r="A11" s="8" t="s">
        <v>241</v>
      </c>
      <c r="B11" s="8" t="s">
        <v>95</v>
      </c>
      <c r="C11" s="8">
        <v>14814.58</v>
      </c>
      <c r="D11" s="8">
        <v>25440</v>
      </c>
      <c r="E11" s="8">
        <f t="shared" si="0"/>
        <v>14976.78</v>
      </c>
      <c r="F11" s="8">
        <f t="shared" si="1"/>
        <v>29953.56</v>
      </c>
      <c r="G11" s="8">
        <f t="shared" si="2"/>
        <v>53546</v>
      </c>
      <c r="H11" s="8">
        <v>5.8869999999999996</v>
      </c>
      <c r="I11" s="8">
        <v>0.74</v>
      </c>
      <c r="J11" s="8"/>
      <c r="K11" s="104">
        <f t="shared" si="3"/>
        <v>109.94285287416426</v>
      </c>
      <c r="L11" s="105">
        <f t="shared" si="4"/>
        <v>65.863596802749029</v>
      </c>
      <c r="M11" s="8"/>
      <c r="N11" s="8"/>
      <c r="O11" s="8"/>
    </row>
    <row r="12" spans="1:17">
      <c r="A12" s="8" t="s">
        <v>242</v>
      </c>
      <c r="B12" s="8" t="s">
        <v>95</v>
      </c>
      <c r="C12" s="8">
        <v>14828.65</v>
      </c>
      <c r="D12" s="8">
        <v>25440</v>
      </c>
      <c r="E12" s="8">
        <f t="shared" si="0"/>
        <v>14990.85</v>
      </c>
      <c r="F12" s="8">
        <f t="shared" si="1"/>
        <v>29981.7</v>
      </c>
      <c r="G12" s="8">
        <f t="shared" si="2"/>
        <v>53546</v>
      </c>
      <c r="H12" s="27">
        <v>7.77</v>
      </c>
      <c r="I12" s="8">
        <v>0.71</v>
      </c>
      <c r="J12" s="8"/>
      <c r="K12" s="104">
        <f>H12/G12*1000000</f>
        <v>145.10887834758898</v>
      </c>
      <c r="L12" s="105">
        <f t="shared" si="4"/>
        <v>87.012217159078162</v>
      </c>
      <c r="M12" s="8"/>
      <c r="N12" s="8"/>
      <c r="O12" s="8"/>
    </row>
    <row r="13" spans="1:17">
      <c r="A13" s="8" t="s">
        <v>243</v>
      </c>
      <c r="B13" s="8" t="s">
        <v>95</v>
      </c>
      <c r="C13" s="8">
        <v>14811.56</v>
      </c>
      <c r="D13" s="8">
        <v>25440</v>
      </c>
      <c r="E13" s="8">
        <f t="shared" si="0"/>
        <v>14973.76</v>
      </c>
      <c r="F13" s="8">
        <f t="shared" si="1"/>
        <v>29947.52</v>
      </c>
      <c r="G13" s="8">
        <f t="shared" si="2"/>
        <v>53546</v>
      </c>
      <c r="H13" s="8">
        <v>4.8879999999999999</v>
      </c>
      <c r="I13" s="8">
        <v>0.82</v>
      </c>
      <c r="J13" s="8"/>
      <c r="K13" s="104">
        <f t="shared" si="3"/>
        <v>91.285997086617101</v>
      </c>
      <c r="L13" s="105">
        <f t="shared" si="4"/>
        <v>54.675784469428145</v>
      </c>
      <c r="M13" s="8"/>
      <c r="N13" s="8"/>
      <c r="O13" s="8"/>
    </row>
    <row r="14" spans="1:17">
      <c r="A14" s="8" t="s">
        <v>244</v>
      </c>
      <c r="B14" s="8" t="s">
        <v>95</v>
      </c>
      <c r="C14" s="8">
        <v>14929.71</v>
      </c>
      <c r="D14" s="8">
        <v>25440</v>
      </c>
      <c r="E14" s="8">
        <f t="shared" si="0"/>
        <v>15091.91</v>
      </c>
      <c r="F14" s="8">
        <f t="shared" si="1"/>
        <v>30183.82</v>
      </c>
      <c r="G14" s="8">
        <f t="shared" si="2"/>
        <v>53546</v>
      </c>
      <c r="H14" s="8">
        <v>9.1069999999999993</v>
      </c>
      <c r="I14" s="8">
        <v>0.74</v>
      </c>
      <c r="J14" s="8"/>
      <c r="K14" s="104">
        <f t="shared" si="3"/>
        <v>170.07806372091284</v>
      </c>
      <c r="L14" s="105">
        <f t="shared" si="4"/>
        <v>102.67211322601125</v>
      </c>
      <c r="M14" s="8"/>
      <c r="N14" s="8"/>
      <c r="O14" s="8"/>
    </row>
    <row r="15" spans="1:17">
      <c r="A15" s="8" t="s">
        <v>245</v>
      </c>
      <c r="B15" s="8" t="s">
        <v>95</v>
      </c>
      <c r="C15" s="8">
        <v>14795.57</v>
      </c>
      <c r="D15" s="8">
        <v>25440</v>
      </c>
      <c r="E15" s="8">
        <f t="shared" si="0"/>
        <v>14957.77</v>
      </c>
      <c r="F15" s="8">
        <f t="shared" si="1"/>
        <v>29915.54</v>
      </c>
      <c r="G15" s="8">
        <f t="shared" si="2"/>
        <v>53546</v>
      </c>
      <c r="H15" s="8">
        <v>5.7080000000000002</v>
      </c>
      <c r="I15" s="8">
        <v>0.65</v>
      </c>
      <c r="J15" s="8"/>
      <c r="K15" s="104">
        <f t="shared" si="3"/>
        <v>106.59993276808726</v>
      </c>
      <c r="L15" s="105">
        <f t="shared" si="4"/>
        <v>63.779891054420496</v>
      </c>
      <c r="M15" s="8"/>
      <c r="N15" s="8"/>
      <c r="O15" s="8"/>
    </row>
    <row r="16" spans="1:17">
      <c r="A16" s="8" t="s">
        <v>246</v>
      </c>
      <c r="B16" s="8" t="s">
        <v>95</v>
      </c>
      <c r="C16" s="8">
        <v>14855.67</v>
      </c>
      <c r="D16" s="8">
        <v>25440</v>
      </c>
      <c r="E16" s="8">
        <f t="shared" si="0"/>
        <v>15017.87</v>
      </c>
      <c r="F16" s="8">
        <f t="shared" si="1"/>
        <v>30035.74</v>
      </c>
      <c r="G16" s="8">
        <f t="shared" si="2"/>
        <v>53546</v>
      </c>
      <c r="H16" s="8">
        <v>5.4989999999999997</v>
      </c>
      <c r="I16" s="8">
        <v>0.71</v>
      </c>
      <c r="J16" s="8"/>
      <c r="K16" s="104">
        <f t="shared" si="3"/>
        <v>102.69674672244425</v>
      </c>
      <c r="L16" s="105">
        <f t="shared" si="4"/>
        <v>61.691455668023757</v>
      </c>
      <c r="M16" s="8"/>
      <c r="N16" s="8"/>
      <c r="O16" s="8"/>
    </row>
    <row r="17" spans="1:15">
      <c r="A17" s="8" t="s">
        <v>247</v>
      </c>
      <c r="B17" s="8" t="s">
        <v>95</v>
      </c>
      <c r="C17" s="8">
        <v>14855.67</v>
      </c>
      <c r="D17" s="8">
        <v>25440</v>
      </c>
      <c r="E17" s="8">
        <f t="shared" si="0"/>
        <v>15017.87</v>
      </c>
      <c r="F17" s="8">
        <f t="shared" si="1"/>
        <v>30035.74</v>
      </c>
      <c r="G17" s="8">
        <f t="shared" si="2"/>
        <v>53546</v>
      </c>
      <c r="H17" s="27">
        <v>6.01</v>
      </c>
      <c r="I17" s="8">
        <v>0.68</v>
      </c>
      <c r="J17" s="8"/>
      <c r="K17" s="104">
        <f t="shared" si="3"/>
        <v>112.23994322638478</v>
      </c>
      <c r="L17" s="105">
        <f t="shared" si="4"/>
        <v>67.4241950472491</v>
      </c>
      <c r="M17" s="8"/>
      <c r="N17" s="8"/>
      <c r="O17" s="8"/>
    </row>
    <row r="18" spans="1:15">
      <c r="A18" s="8" t="s">
        <v>248</v>
      </c>
      <c r="B18" s="8" t="s">
        <v>95</v>
      </c>
      <c r="C18" s="8">
        <v>14827.66</v>
      </c>
      <c r="D18" s="8">
        <v>25440</v>
      </c>
      <c r="E18" s="8">
        <f t="shared" si="0"/>
        <v>14989.86</v>
      </c>
      <c r="F18" s="8">
        <f t="shared" si="1"/>
        <v>29979.72</v>
      </c>
      <c r="G18" s="8">
        <f t="shared" si="2"/>
        <v>53546</v>
      </c>
      <c r="H18" s="8">
        <v>4.6580000000000004</v>
      </c>
      <c r="I18" s="8">
        <v>0.66</v>
      </c>
      <c r="J18" s="8"/>
      <c r="K18" s="104">
        <f t="shared" si="3"/>
        <v>86.990624883277945</v>
      </c>
      <c r="L18" s="105">
        <f t="shared" si="4"/>
        <v>52.159091532514111</v>
      </c>
      <c r="M18" s="8"/>
      <c r="N18" s="8"/>
      <c r="O18" s="8"/>
    </row>
    <row r="19" spans="1:15">
      <c r="A19" s="8" t="s">
        <v>292</v>
      </c>
      <c r="B19" s="8" t="s">
        <v>95</v>
      </c>
      <c r="C19" s="8">
        <v>14829.59</v>
      </c>
      <c r="D19" s="8">
        <v>25440</v>
      </c>
      <c r="E19" s="8">
        <f t="shared" si="0"/>
        <v>14991.79</v>
      </c>
      <c r="F19" s="8">
        <f t="shared" si="1"/>
        <v>29983.58</v>
      </c>
      <c r="G19" s="8">
        <f t="shared" si="2"/>
        <v>53546</v>
      </c>
      <c r="H19" s="95">
        <v>3.8620000000000001</v>
      </c>
      <c r="I19" s="95">
        <v>0.99</v>
      </c>
      <c r="J19" s="95"/>
      <c r="K19" s="104">
        <f t="shared" si="3"/>
        <v>72.124901953460579</v>
      </c>
      <c r="L19" s="105">
        <f t="shared" si="4"/>
        <v>43.251255354274832</v>
      </c>
      <c r="M19" s="8"/>
      <c r="N19" s="8"/>
      <c r="O19" s="8"/>
    </row>
    <row r="20" spans="1:15">
      <c r="A20" s="8" t="s">
        <v>293</v>
      </c>
      <c r="B20" s="8" t="s">
        <v>95</v>
      </c>
      <c r="C20" s="9">
        <v>14971.75</v>
      </c>
      <c r="D20" s="8">
        <v>25440</v>
      </c>
      <c r="E20" s="8">
        <f t="shared" ref="E20:E25" si="5">C20+$P$3</f>
        <v>15133.95</v>
      </c>
      <c r="F20" s="8">
        <f>E20*2</f>
        <v>30267.9</v>
      </c>
      <c r="G20" s="8">
        <f t="shared" ref="G20:G25" si="6">D20*2+2*$Q$3</f>
        <v>53546</v>
      </c>
      <c r="H20" s="96">
        <v>4.6050000000000004</v>
      </c>
      <c r="I20" s="96">
        <v>1.17</v>
      </c>
      <c r="J20" s="96"/>
      <c r="K20" s="104">
        <f t="shared" si="3"/>
        <v>86.000821723378039</v>
      </c>
      <c r="L20" s="105">
        <f t="shared" si="4"/>
        <v>52.061285436820683</v>
      </c>
      <c r="M20" s="8"/>
      <c r="N20" s="8"/>
      <c r="O20" s="8"/>
    </row>
    <row r="21" spans="1:15">
      <c r="A21" s="8" t="s">
        <v>294</v>
      </c>
      <c r="B21" s="8" t="s">
        <v>95</v>
      </c>
      <c r="C21" s="9">
        <v>14828.65</v>
      </c>
      <c r="D21" s="8">
        <v>25440</v>
      </c>
      <c r="E21" s="8">
        <f t="shared" si="5"/>
        <v>14990.85</v>
      </c>
      <c r="F21" s="8">
        <f t="shared" si="1"/>
        <v>29981.7</v>
      </c>
      <c r="G21" s="8">
        <f t="shared" si="6"/>
        <v>53546</v>
      </c>
      <c r="H21" s="98">
        <v>5.931</v>
      </c>
      <c r="I21" s="99">
        <v>0.7</v>
      </c>
      <c r="J21" s="97"/>
      <c r="K21" s="104">
        <f t="shared" si="3"/>
        <v>110.76457625219437</v>
      </c>
      <c r="L21" s="105">
        <f t="shared" si="4"/>
        <v>66.418205916408311</v>
      </c>
      <c r="M21" s="8"/>
      <c r="N21" s="8"/>
      <c r="O21" s="8"/>
    </row>
    <row r="22" spans="1:15">
      <c r="A22" s="8" t="s">
        <v>295</v>
      </c>
      <c r="B22" s="8" t="s">
        <v>95</v>
      </c>
      <c r="C22" s="9">
        <v>14829.59</v>
      </c>
      <c r="D22" s="8">
        <v>25440</v>
      </c>
      <c r="E22" s="8">
        <f t="shared" si="5"/>
        <v>14991.79</v>
      </c>
      <c r="F22" s="8">
        <f t="shared" si="1"/>
        <v>29983.58</v>
      </c>
      <c r="G22" s="8">
        <f t="shared" si="6"/>
        <v>53546</v>
      </c>
      <c r="H22" s="100">
        <v>5.6909999999999998</v>
      </c>
      <c r="I22" s="100">
        <v>0.62</v>
      </c>
      <c r="J22" s="8"/>
      <c r="K22" s="104">
        <f t="shared" si="3"/>
        <v>106.28244873566653</v>
      </c>
      <c r="L22" s="105">
        <f t="shared" si="4"/>
        <v>63.73456608523513</v>
      </c>
      <c r="M22" s="8"/>
      <c r="N22" s="8"/>
      <c r="O22" s="8"/>
    </row>
    <row r="23" spans="1:15">
      <c r="A23" s="8" t="s">
        <v>296</v>
      </c>
      <c r="B23" s="8" t="s">
        <v>95</v>
      </c>
      <c r="C23" s="9">
        <v>14786.56</v>
      </c>
      <c r="D23" s="8">
        <v>25440</v>
      </c>
      <c r="E23" s="8">
        <f t="shared" si="5"/>
        <v>14948.76</v>
      </c>
      <c r="F23" s="8">
        <f t="shared" si="1"/>
        <v>29897.52</v>
      </c>
      <c r="G23" s="8">
        <f t="shared" si="6"/>
        <v>53546</v>
      </c>
      <c r="H23" s="101">
        <v>6.335</v>
      </c>
      <c r="I23" s="101">
        <v>0.69</v>
      </c>
      <c r="J23" s="8"/>
      <c r="K23" s="104">
        <f t="shared" si="3"/>
        <v>118.30949090501625</v>
      </c>
      <c r="L23" s="105">
        <f t="shared" si="4"/>
        <v>70.743207410450822</v>
      </c>
      <c r="M23" s="8"/>
      <c r="N23" s="8"/>
      <c r="O23" s="8"/>
    </row>
    <row r="24" spans="1:15">
      <c r="A24" s="8" t="s">
        <v>297</v>
      </c>
      <c r="B24" s="8" t="s">
        <v>95</v>
      </c>
      <c r="C24" s="9">
        <v>14813.63</v>
      </c>
      <c r="D24" s="8">
        <v>25440</v>
      </c>
      <c r="E24" s="8">
        <f t="shared" si="5"/>
        <v>14975.83</v>
      </c>
      <c r="F24" s="8">
        <f t="shared" si="1"/>
        <v>29951.66</v>
      </c>
      <c r="G24" s="8">
        <f t="shared" si="6"/>
        <v>53546</v>
      </c>
      <c r="H24" s="102">
        <v>5.194</v>
      </c>
      <c r="I24" s="102">
        <v>0.67</v>
      </c>
      <c r="J24" s="8"/>
      <c r="K24" s="104">
        <f t="shared" si="3"/>
        <v>97.000709670190119</v>
      </c>
      <c r="L24" s="105">
        <f t="shared" si="4"/>
        <v>58.106645516004939</v>
      </c>
      <c r="M24" s="8"/>
      <c r="N24" s="8"/>
      <c r="O24" s="8"/>
    </row>
    <row r="25" spans="1:15">
      <c r="A25" s="8" t="s">
        <v>298</v>
      </c>
      <c r="B25" s="8" t="s">
        <v>95</v>
      </c>
      <c r="C25" s="9">
        <v>14814.58</v>
      </c>
      <c r="D25" s="8">
        <v>25440</v>
      </c>
      <c r="E25" s="8">
        <f t="shared" si="5"/>
        <v>14976.78</v>
      </c>
      <c r="F25" s="8">
        <f t="shared" si="1"/>
        <v>29953.56</v>
      </c>
      <c r="G25" s="8">
        <f t="shared" si="6"/>
        <v>53546</v>
      </c>
      <c r="H25" s="103">
        <v>5.8220000000000001</v>
      </c>
      <c r="I25" s="103">
        <v>0.67</v>
      </c>
      <c r="J25" s="8"/>
      <c r="K25" s="104">
        <f t="shared" si="3"/>
        <v>108.72894333843799</v>
      </c>
      <c r="L25" s="105">
        <f t="shared" si="4"/>
        <v>65.136378560490044</v>
      </c>
      <c r="M25" s="8"/>
      <c r="N25" s="8"/>
      <c r="O25" s="8"/>
    </row>
    <row r="26" spans="1: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 t="s">
        <v>301</v>
      </c>
      <c r="M28" s="8"/>
      <c r="N28" s="8"/>
      <c r="O28" s="8"/>
    </row>
    <row r="29" spans="1: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</sheetData>
  <mergeCells count="1">
    <mergeCell ref="C2:D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F15E-7124-4800-BB89-74C57C667DCA}">
  <sheetPr>
    <pageSetUpPr fitToPage="1"/>
  </sheetPr>
  <dimension ref="A1:Y73"/>
  <sheetViews>
    <sheetView topLeftCell="A31" workbookViewId="0">
      <selection activeCell="C86" sqref="C86"/>
    </sheetView>
  </sheetViews>
  <sheetFormatPr defaultRowHeight="15"/>
  <cols>
    <col min="1" max="1" width="12.7109375" customWidth="1"/>
    <col min="3" max="3" width="29.85546875" customWidth="1"/>
    <col min="4" max="4" width="4.7109375" customWidth="1"/>
    <col min="5" max="5" width="14.7109375" customWidth="1"/>
    <col min="6" max="6" width="23.140625" customWidth="1"/>
    <col min="7" max="7" width="21.7109375" customWidth="1"/>
    <col min="8" max="8" width="11.28515625" customWidth="1"/>
    <col min="10" max="10" width="38" customWidth="1"/>
    <col min="12" max="12" width="16.42578125" customWidth="1"/>
    <col min="13" max="13" width="10.5703125" customWidth="1"/>
    <col min="14" max="14" width="7.28515625" customWidth="1"/>
    <col min="15" max="15" width="4.42578125" customWidth="1"/>
    <col min="20" max="20" width="14" customWidth="1"/>
    <col min="21" max="21" width="13" customWidth="1"/>
    <col min="22" max="22" width="10.7109375" customWidth="1"/>
    <col min="24" max="24" width="9" customWidth="1"/>
  </cols>
  <sheetData>
    <row r="1" spans="1:25">
      <c r="A1" t="s">
        <v>104</v>
      </c>
    </row>
    <row r="2" spans="1:25">
      <c r="C2" t="s">
        <v>174</v>
      </c>
      <c r="D2">
        <v>25</v>
      </c>
      <c r="E2" t="s">
        <v>178</v>
      </c>
      <c r="F2">
        <v>1</v>
      </c>
      <c r="G2" t="s">
        <v>179</v>
      </c>
      <c r="H2">
        <v>10</v>
      </c>
      <c r="J2" t="s">
        <v>220</v>
      </c>
      <c r="K2" t="s">
        <v>221</v>
      </c>
    </row>
    <row r="3" spans="1:25">
      <c r="A3" s="22" t="s">
        <v>105</v>
      </c>
      <c r="C3" t="s">
        <v>277</v>
      </c>
      <c r="D3">
        <v>125</v>
      </c>
      <c r="E3" s="8" t="s">
        <v>178</v>
      </c>
      <c r="F3">
        <v>5</v>
      </c>
      <c r="G3" t="s">
        <v>175</v>
      </c>
      <c r="H3">
        <v>300</v>
      </c>
      <c r="J3" t="s">
        <v>222</v>
      </c>
      <c r="K3" t="s">
        <v>223</v>
      </c>
    </row>
    <row r="4" spans="1:25">
      <c r="Q4" t="s">
        <v>214</v>
      </c>
      <c r="X4" t="s">
        <v>218</v>
      </c>
    </row>
    <row r="5" spans="1:25">
      <c r="A5" s="10" t="s">
        <v>215</v>
      </c>
      <c r="B5" s="11" t="s">
        <v>106</v>
      </c>
      <c r="C5" s="11" t="s">
        <v>176</v>
      </c>
      <c r="D5" s="11"/>
      <c r="E5" s="11" t="s">
        <v>177</v>
      </c>
      <c r="F5" s="11" t="s">
        <v>180</v>
      </c>
      <c r="G5" s="11" t="s">
        <v>181</v>
      </c>
      <c r="H5" s="12" t="s">
        <v>182</v>
      </c>
      <c r="J5" t="s">
        <v>204</v>
      </c>
      <c r="K5">
        <f>MAX(F6:F71)</f>
        <v>276</v>
      </c>
      <c r="M5" t="s">
        <v>211</v>
      </c>
      <c r="N5">
        <v>1.05</v>
      </c>
      <c r="Q5" s="10" t="s">
        <v>215</v>
      </c>
      <c r="R5" s="12" t="s">
        <v>106</v>
      </c>
      <c r="S5" s="11"/>
      <c r="T5" s="11" t="s">
        <v>177</v>
      </c>
      <c r="U5" s="24" t="s">
        <v>216</v>
      </c>
      <c r="V5" s="25" t="s">
        <v>217</v>
      </c>
      <c r="X5" s="10" t="s">
        <v>228</v>
      </c>
      <c r="Y5" s="12" t="s">
        <v>219</v>
      </c>
    </row>
    <row r="6" spans="1:25">
      <c r="A6" s="13" t="s">
        <v>107</v>
      </c>
      <c r="B6" s="15" t="s">
        <v>173</v>
      </c>
      <c r="C6" s="28">
        <v>119.168565345684</v>
      </c>
      <c r="D6" s="14"/>
      <c r="E6" s="28">
        <f>$H$2/C6*$H$3</f>
        <v>25.17442407146217</v>
      </c>
      <c r="F6" s="31">
        <f>$H$3-E6-G6-H6</f>
        <v>250.82557592853783</v>
      </c>
      <c r="G6" s="14">
        <f>$F$2/$D$2*$H$3</f>
        <v>12</v>
      </c>
      <c r="H6" s="15">
        <f>$F$3/$D$3*$H$3</f>
        <v>12</v>
      </c>
      <c r="J6" t="s">
        <v>205</v>
      </c>
      <c r="K6">
        <f>MIN(F6:F71)</f>
        <v>232.51380617217109</v>
      </c>
      <c r="Q6" s="41" t="str">
        <f>A6</f>
        <v>1a</v>
      </c>
      <c r="R6" s="42" t="str">
        <f>B6</f>
        <v>WT</v>
      </c>
      <c r="S6" s="43"/>
      <c r="T6" s="44">
        <f>E6</f>
        <v>25.17442407146217</v>
      </c>
      <c r="U6" s="44">
        <f>$H$3-T6-V6</f>
        <v>18.311769756366743</v>
      </c>
      <c r="V6" s="45">
        <f>$L$13</f>
        <v>256.51380617217109</v>
      </c>
      <c r="W6" s="46"/>
      <c r="X6" s="41">
        <f>12</f>
        <v>12</v>
      </c>
      <c r="Y6" s="42">
        <f>60</f>
        <v>60</v>
      </c>
    </row>
    <row r="7" spans="1:25">
      <c r="A7" s="16" t="s">
        <v>108</v>
      </c>
      <c r="B7" s="18" t="s">
        <v>173</v>
      </c>
      <c r="C7" s="28">
        <v>119.168565345684</v>
      </c>
      <c r="D7" s="17"/>
      <c r="E7" s="29">
        <f t="shared" ref="E7:E68" si="0">$H$2/C7*$H$3</f>
        <v>25.17442407146217</v>
      </c>
      <c r="F7" s="32">
        <f t="shared" ref="F7:F70" si="1">$H$3-E7-G7-H7</f>
        <v>250.82557592853783</v>
      </c>
      <c r="G7" s="17">
        <f t="shared" ref="G7:G70" si="2">$F$2/$D$2*$H$3</f>
        <v>12</v>
      </c>
      <c r="H7" s="18">
        <f t="shared" ref="H7:H70" si="3">$F$3/$D$3*$H$3</f>
        <v>12</v>
      </c>
      <c r="Q7" s="47" t="str">
        <f>A7</f>
        <v>1b</v>
      </c>
      <c r="R7" s="48" t="str">
        <f>B7</f>
        <v>WT</v>
      </c>
      <c r="S7" s="49"/>
      <c r="T7" s="50">
        <f>E7</f>
        <v>25.17442407146217</v>
      </c>
      <c r="U7" s="50">
        <f t="shared" ref="U7:U26" si="4">$H$3-T7-V7</f>
        <v>18.311769756366743</v>
      </c>
      <c r="V7" s="51">
        <f>$L$13</f>
        <v>256.51380617217109</v>
      </c>
      <c r="W7" s="46"/>
      <c r="X7" s="47">
        <f>12</f>
        <v>12</v>
      </c>
      <c r="Y7" s="48">
        <f>60</f>
        <v>60</v>
      </c>
    </row>
    <row r="8" spans="1:25">
      <c r="A8" s="16" t="s">
        <v>109</v>
      </c>
      <c r="B8" s="18" t="s">
        <v>173</v>
      </c>
      <c r="C8" s="28">
        <v>119.168565345684</v>
      </c>
      <c r="D8" s="17"/>
      <c r="E8" s="29">
        <f t="shared" si="0"/>
        <v>25.17442407146217</v>
      </c>
      <c r="F8" s="32">
        <f t="shared" si="1"/>
        <v>250.82557592853783</v>
      </c>
      <c r="G8" s="17">
        <f t="shared" si="2"/>
        <v>12</v>
      </c>
      <c r="H8" s="18">
        <f t="shared" si="3"/>
        <v>12</v>
      </c>
      <c r="J8" s="34" t="s">
        <v>206</v>
      </c>
      <c r="K8" s="34"/>
      <c r="L8" s="34" t="s">
        <v>207</v>
      </c>
      <c r="M8" s="34"/>
      <c r="N8" s="40">
        <f>K6*22*1.05</f>
        <v>5371.0689225771521</v>
      </c>
      <c r="Q8" s="47" t="str">
        <f t="shared" ref="Q8:Q26" si="5">A8</f>
        <v>1c</v>
      </c>
      <c r="R8" s="48" t="str">
        <f t="shared" ref="R8:R26" si="6">B8</f>
        <v>WT</v>
      </c>
      <c r="S8" s="49"/>
      <c r="T8" s="50">
        <f t="shared" ref="T8:T26" si="7">E8</f>
        <v>25.17442407146217</v>
      </c>
      <c r="U8" s="50">
        <f t="shared" si="4"/>
        <v>18.311769756366743</v>
      </c>
      <c r="V8" s="51">
        <f t="shared" ref="V8:V70" si="8">$L$13</f>
        <v>256.51380617217109</v>
      </c>
      <c r="W8" s="46"/>
      <c r="X8" s="47">
        <f>12</f>
        <v>12</v>
      </c>
      <c r="Y8" s="48">
        <f>60</f>
        <v>60</v>
      </c>
    </row>
    <row r="9" spans="1:25">
      <c r="A9" s="16" t="s">
        <v>110</v>
      </c>
      <c r="B9" s="18" t="s">
        <v>184</v>
      </c>
      <c r="C9" s="29">
        <v>118.977107131105</v>
      </c>
      <c r="D9" s="17"/>
      <c r="E9" s="29">
        <f t="shared" si="0"/>
        <v>25.214934808376167</v>
      </c>
      <c r="F9" s="32">
        <f t="shared" si="1"/>
        <v>250.78506519162386</v>
      </c>
      <c r="G9" s="17">
        <f t="shared" si="2"/>
        <v>12</v>
      </c>
      <c r="H9" s="18">
        <f t="shared" si="3"/>
        <v>12</v>
      </c>
      <c r="J9" s="34" t="s">
        <v>210</v>
      </c>
      <c r="K9" s="34"/>
      <c r="L9" s="34" t="s">
        <v>208</v>
      </c>
      <c r="M9" s="34"/>
      <c r="N9" s="39">
        <f>G6*22*N5</f>
        <v>277.2</v>
      </c>
      <c r="Q9" s="47" t="str">
        <f t="shared" si="5"/>
        <v>2a</v>
      </c>
      <c r="R9" s="48" t="str">
        <f t="shared" si="6"/>
        <v>W96A</v>
      </c>
      <c r="S9" s="49"/>
      <c r="T9" s="50">
        <f t="shared" si="7"/>
        <v>25.214934808376167</v>
      </c>
      <c r="U9" s="50">
        <f t="shared" si="4"/>
        <v>18.271259019452771</v>
      </c>
      <c r="V9" s="51">
        <f t="shared" si="8"/>
        <v>256.51380617217109</v>
      </c>
      <c r="W9" s="46"/>
      <c r="X9" s="47">
        <f>12</f>
        <v>12</v>
      </c>
      <c r="Y9" s="48">
        <f>60</f>
        <v>60</v>
      </c>
    </row>
    <row r="10" spans="1:25">
      <c r="A10" s="16" t="s">
        <v>111</v>
      </c>
      <c r="B10" s="18" t="s">
        <v>184</v>
      </c>
      <c r="C10" s="29">
        <v>118.977107131105</v>
      </c>
      <c r="D10" s="17"/>
      <c r="E10" s="29">
        <f t="shared" si="0"/>
        <v>25.214934808376167</v>
      </c>
      <c r="F10" s="32">
        <f t="shared" si="1"/>
        <v>250.78506519162386</v>
      </c>
      <c r="G10" s="17">
        <f t="shared" si="2"/>
        <v>12</v>
      </c>
      <c r="H10" s="18">
        <f t="shared" si="3"/>
        <v>12</v>
      </c>
      <c r="J10" s="34"/>
      <c r="K10" s="34"/>
      <c r="L10" s="34" t="s">
        <v>209</v>
      </c>
      <c r="M10" s="34"/>
      <c r="N10" s="39">
        <f>H6*22*N5</f>
        <v>277.2</v>
      </c>
      <c r="Q10" s="47" t="str">
        <f t="shared" si="5"/>
        <v>2b</v>
      </c>
      <c r="R10" s="48" t="str">
        <f t="shared" si="6"/>
        <v>W96A</v>
      </c>
      <c r="S10" s="49"/>
      <c r="T10" s="50">
        <f t="shared" si="7"/>
        <v>25.214934808376167</v>
      </c>
      <c r="U10" s="50">
        <f t="shared" si="4"/>
        <v>18.271259019452771</v>
      </c>
      <c r="V10" s="51">
        <f t="shared" si="8"/>
        <v>256.51380617217109</v>
      </c>
      <c r="W10" s="46"/>
      <c r="X10" s="47">
        <f>12</f>
        <v>12</v>
      </c>
      <c r="Y10" s="48">
        <f>60</f>
        <v>60</v>
      </c>
    </row>
    <row r="11" spans="1:25">
      <c r="A11" s="16" t="s">
        <v>112</v>
      </c>
      <c r="B11" s="18" t="s">
        <v>184</v>
      </c>
      <c r="C11" s="29">
        <v>118.977107131105</v>
      </c>
      <c r="D11" s="17"/>
      <c r="E11" s="29">
        <f t="shared" si="0"/>
        <v>25.214934808376167</v>
      </c>
      <c r="F11" s="32">
        <f t="shared" si="1"/>
        <v>250.78506519162386</v>
      </c>
      <c r="G11" s="17">
        <f t="shared" si="2"/>
        <v>12</v>
      </c>
      <c r="H11" s="18">
        <f t="shared" si="3"/>
        <v>12</v>
      </c>
      <c r="J11" s="34"/>
      <c r="K11" s="34"/>
      <c r="L11" s="34" t="s">
        <v>212</v>
      </c>
      <c r="M11" s="34"/>
      <c r="N11" s="40">
        <f>SUM(N8:N10)</f>
        <v>5925.4689225771517</v>
      </c>
      <c r="Q11" s="47" t="str">
        <f t="shared" si="5"/>
        <v>2c</v>
      </c>
      <c r="R11" s="48" t="str">
        <f t="shared" si="6"/>
        <v>W96A</v>
      </c>
      <c r="S11" s="49"/>
      <c r="T11" s="50">
        <f t="shared" si="7"/>
        <v>25.214934808376167</v>
      </c>
      <c r="U11" s="50">
        <f t="shared" si="4"/>
        <v>18.271259019452771</v>
      </c>
      <c r="V11" s="51">
        <f t="shared" si="8"/>
        <v>256.51380617217109</v>
      </c>
      <c r="W11" s="46"/>
      <c r="X11" s="47">
        <f>12</f>
        <v>12</v>
      </c>
      <c r="Y11" s="48">
        <f>60</f>
        <v>60</v>
      </c>
    </row>
    <row r="12" spans="1:25">
      <c r="A12" s="16" t="s">
        <v>113</v>
      </c>
      <c r="B12" s="18" t="s">
        <v>185</v>
      </c>
      <c r="C12" s="29">
        <v>71.023045605647496</v>
      </c>
      <c r="D12" s="17"/>
      <c r="E12" s="29">
        <f t="shared" si="0"/>
        <v>42.239810675782266</v>
      </c>
      <c r="F12" s="32">
        <f t="shared" si="1"/>
        <v>233.76018932421772</v>
      </c>
      <c r="G12" s="17">
        <f t="shared" si="2"/>
        <v>12</v>
      </c>
      <c r="H12" s="18">
        <f t="shared" si="3"/>
        <v>12</v>
      </c>
      <c r="Q12" s="47" t="str">
        <f t="shared" si="5"/>
        <v>3a</v>
      </c>
      <c r="R12" s="48" t="str">
        <f t="shared" si="6"/>
        <v>E7A</v>
      </c>
      <c r="S12" s="49"/>
      <c r="T12" s="50">
        <f t="shared" si="7"/>
        <v>42.239810675782266</v>
      </c>
      <c r="U12" s="50">
        <f t="shared" si="4"/>
        <v>1.2463831520466329</v>
      </c>
      <c r="V12" s="51">
        <f t="shared" si="8"/>
        <v>256.51380617217109</v>
      </c>
      <c r="W12" s="46"/>
      <c r="X12" s="47">
        <f>12</f>
        <v>12</v>
      </c>
      <c r="Y12" s="48">
        <f>60</f>
        <v>60</v>
      </c>
    </row>
    <row r="13" spans="1:25">
      <c r="A13" s="16" t="s">
        <v>114</v>
      </c>
      <c r="B13" s="18" t="s">
        <v>185</v>
      </c>
      <c r="C13" s="29">
        <v>71.023045605647496</v>
      </c>
      <c r="D13" s="17"/>
      <c r="E13" s="29">
        <f t="shared" si="0"/>
        <v>42.239810675782266</v>
      </c>
      <c r="F13" s="32">
        <f t="shared" si="1"/>
        <v>233.76018932421772</v>
      </c>
      <c r="G13" s="17">
        <f t="shared" si="2"/>
        <v>12</v>
      </c>
      <c r="H13" s="18">
        <f t="shared" si="3"/>
        <v>12</v>
      </c>
      <c r="J13" s="35" t="s">
        <v>213</v>
      </c>
      <c r="K13" s="35"/>
      <c r="L13" s="38">
        <f>K6+G6+H6</f>
        <v>256.51380617217109</v>
      </c>
      <c r="Q13" s="47" t="str">
        <f t="shared" si="5"/>
        <v>3b</v>
      </c>
      <c r="R13" s="48" t="str">
        <f t="shared" si="6"/>
        <v>E7A</v>
      </c>
      <c r="S13" s="49"/>
      <c r="T13" s="50">
        <f t="shared" si="7"/>
        <v>42.239810675782266</v>
      </c>
      <c r="U13" s="50">
        <f t="shared" si="4"/>
        <v>1.2463831520466329</v>
      </c>
      <c r="V13" s="51">
        <f t="shared" si="8"/>
        <v>256.51380617217109</v>
      </c>
      <c r="W13" s="46"/>
      <c r="X13" s="47">
        <f>12</f>
        <v>12</v>
      </c>
      <c r="Y13" s="48">
        <f>60</f>
        <v>60</v>
      </c>
    </row>
    <row r="14" spans="1:25">
      <c r="A14" s="16" t="s">
        <v>115</v>
      </c>
      <c r="B14" s="18" t="s">
        <v>185</v>
      </c>
      <c r="C14" s="29">
        <v>71.023045605647496</v>
      </c>
      <c r="D14" s="17"/>
      <c r="E14" s="29">
        <f t="shared" si="0"/>
        <v>42.239810675782266</v>
      </c>
      <c r="F14" s="32">
        <f t="shared" si="1"/>
        <v>233.76018932421772</v>
      </c>
      <c r="G14" s="17">
        <f t="shared" si="2"/>
        <v>12</v>
      </c>
      <c r="H14" s="18">
        <f t="shared" si="3"/>
        <v>12</v>
      </c>
      <c r="Q14" s="47" t="str">
        <f t="shared" si="5"/>
        <v>3c</v>
      </c>
      <c r="R14" s="48" t="str">
        <f t="shared" si="6"/>
        <v>E7A</v>
      </c>
      <c r="S14" s="49"/>
      <c r="T14" s="50">
        <f t="shared" si="7"/>
        <v>42.239810675782266</v>
      </c>
      <c r="U14" s="50">
        <f t="shared" si="4"/>
        <v>1.2463831520466329</v>
      </c>
      <c r="V14" s="51">
        <f t="shared" si="8"/>
        <v>256.51380617217109</v>
      </c>
      <c r="W14" s="46"/>
      <c r="X14" s="47">
        <f>12</f>
        <v>12</v>
      </c>
      <c r="Y14" s="48">
        <f>60</f>
        <v>60</v>
      </c>
    </row>
    <row r="15" spans="1:25">
      <c r="A15" s="16" t="s">
        <v>116</v>
      </c>
      <c r="B15" s="18" t="s">
        <v>186</v>
      </c>
      <c r="C15" s="29">
        <v>68.987412691891095</v>
      </c>
      <c r="D15" s="17"/>
      <c r="E15" s="29">
        <f t="shared" si="0"/>
        <v>43.486193827828906</v>
      </c>
      <c r="F15" s="32">
        <f t="shared" si="1"/>
        <v>232.51380617217109</v>
      </c>
      <c r="G15" s="17">
        <f t="shared" si="2"/>
        <v>12</v>
      </c>
      <c r="H15" s="18">
        <f t="shared" si="3"/>
        <v>12</v>
      </c>
      <c r="J15" s="35" t="s">
        <v>224</v>
      </c>
      <c r="K15" s="35"/>
      <c r="L15" s="36">
        <f>20*N15/1000</f>
        <v>29.999639999999999</v>
      </c>
      <c r="M15" s="35" t="s">
        <v>226</v>
      </c>
      <c r="N15" s="36">
        <f>22*60*1.13635</f>
        <v>1499.982</v>
      </c>
      <c r="O15" s="35" t="s">
        <v>227</v>
      </c>
      <c r="Q15" s="47" t="str">
        <f t="shared" si="5"/>
        <v>4a</v>
      </c>
      <c r="R15" s="48" t="str">
        <f t="shared" si="6"/>
        <v>A11L</v>
      </c>
      <c r="S15" s="49"/>
      <c r="T15" s="50">
        <f t="shared" si="7"/>
        <v>43.486193827828906</v>
      </c>
      <c r="U15" s="50">
        <f t="shared" si="4"/>
        <v>0</v>
      </c>
      <c r="V15" s="51">
        <f t="shared" si="8"/>
        <v>256.51380617217109</v>
      </c>
      <c r="W15" s="46"/>
      <c r="X15" s="47">
        <f>12</f>
        <v>12</v>
      </c>
      <c r="Y15" s="48">
        <f>60</f>
        <v>60</v>
      </c>
    </row>
    <row r="16" spans="1:25">
      <c r="A16" s="16" t="s">
        <v>117</v>
      </c>
      <c r="B16" s="18" t="s">
        <v>186</v>
      </c>
      <c r="C16" s="29">
        <v>68.987412691891095</v>
      </c>
      <c r="D16" s="17"/>
      <c r="E16" s="29">
        <f t="shared" si="0"/>
        <v>43.486193827828906</v>
      </c>
      <c r="F16" s="32">
        <f t="shared" si="1"/>
        <v>232.51380617217109</v>
      </c>
      <c r="G16" s="17">
        <f t="shared" si="2"/>
        <v>12</v>
      </c>
      <c r="H16" s="18">
        <f t="shared" si="3"/>
        <v>12</v>
      </c>
      <c r="J16" s="35" t="s">
        <v>225</v>
      </c>
      <c r="K16" s="35"/>
      <c r="L16" s="35">
        <f>12*22</f>
        <v>264</v>
      </c>
      <c r="M16" s="35" t="s">
        <v>227</v>
      </c>
      <c r="N16" s="35"/>
      <c r="O16" s="35"/>
      <c r="Q16" s="47" t="str">
        <f t="shared" si="5"/>
        <v>4b</v>
      </c>
      <c r="R16" s="48" t="str">
        <f t="shared" si="6"/>
        <v>A11L</v>
      </c>
      <c r="S16" s="49"/>
      <c r="T16" s="50">
        <f t="shared" si="7"/>
        <v>43.486193827828906</v>
      </c>
      <c r="U16" s="50">
        <f t="shared" si="4"/>
        <v>0</v>
      </c>
      <c r="V16" s="51">
        <f t="shared" si="8"/>
        <v>256.51380617217109</v>
      </c>
      <c r="W16" s="46"/>
      <c r="X16" s="47">
        <f>12</f>
        <v>12</v>
      </c>
      <c r="Y16" s="48">
        <f>60</f>
        <v>60</v>
      </c>
    </row>
    <row r="17" spans="1:25">
      <c r="A17" s="16" t="s">
        <v>118</v>
      </c>
      <c r="B17" s="18" t="s">
        <v>186</v>
      </c>
      <c r="C17" s="29">
        <v>68.987412691891095</v>
      </c>
      <c r="D17" s="17"/>
      <c r="E17" s="29">
        <f t="shared" si="0"/>
        <v>43.486193827828906</v>
      </c>
      <c r="F17" s="32">
        <f t="shared" si="1"/>
        <v>232.51380617217109</v>
      </c>
      <c r="G17" s="17">
        <f t="shared" si="2"/>
        <v>12</v>
      </c>
      <c r="H17" s="18">
        <f t="shared" si="3"/>
        <v>12</v>
      </c>
      <c r="J17" s="23"/>
      <c r="Q17" s="47" t="str">
        <f t="shared" si="5"/>
        <v>4c</v>
      </c>
      <c r="R17" s="48" t="str">
        <f t="shared" si="6"/>
        <v>A11L</v>
      </c>
      <c r="S17" s="49"/>
      <c r="T17" s="50">
        <f t="shared" si="7"/>
        <v>43.486193827828906</v>
      </c>
      <c r="U17" s="50">
        <f t="shared" si="4"/>
        <v>0</v>
      </c>
      <c r="V17" s="51">
        <f t="shared" si="8"/>
        <v>256.51380617217109</v>
      </c>
      <c r="W17" s="46"/>
      <c r="X17" s="47">
        <f>12</f>
        <v>12</v>
      </c>
      <c r="Y17" s="48">
        <f>60</f>
        <v>60</v>
      </c>
    </row>
    <row r="18" spans="1:25">
      <c r="A18" s="16" t="s">
        <v>119</v>
      </c>
      <c r="B18" s="18" t="s">
        <v>187</v>
      </c>
      <c r="C18" s="29">
        <v>80.790348485414398</v>
      </c>
      <c r="D18" s="17"/>
      <c r="E18" s="29">
        <f t="shared" si="0"/>
        <v>37.133148404993072</v>
      </c>
      <c r="F18" s="32">
        <f t="shared" si="1"/>
        <v>238.86685159500695</v>
      </c>
      <c r="G18" s="17">
        <f t="shared" si="2"/>
        <v>12</v>
      </c>
      <c r="H18" s="18">
        <f t="shared" si="3"/>
        <v>12</v>
      </c>
      <c r="J18" s="34" t="s">
        <v>278</v>
      </c>
      <c r="K18" s="34"/>
      <c r="L18" s="34" t="s">
        <v>284</v>
      </c>
      <c r="M18" s="34">
        <v>2000</v>
      </c>
      <c r="N18" s="34" t="s">
        <v>285</v>
      </c>
      <c r="Q18" s="47" t="str">
        <f t="shared" si="5"/>
        <v>5a</v>
      </c>
      <c r="R18" s="48" t="str">
        <f t="shared" si="6"/>
        <v>L18A</v>
      </c>
      <c r="S18" s="49"/>
      <c r="T18" s="50">
        <f t="shared" si="7"/>
        <v>37.133148404993072</v>
      </c>
      <c r="U18" s="50">
        <f t="shared" si="4"/>
        <v>6.3530454228358622</v>
      </c>
      <c r="V18" s="51">
        <f t="shared" si="8"/>
        <v>256.51380617217109</v>
      </c>
      <c r="W18" s="46"/>
      <c r="X18" s="47">
        <f>12</f>
        <v>12</v>
      </c>
      <c r="Y18" s="48">
        <f>60</f>
        <v>60</v>
      </c>
    </row>
    <row r="19" spans="1:25">
      <c r="A19" s="16" t="s">
        <v>120</v>
      </c>
      <c r="B19" s="18" t="s">
        <v>187</v>
      </c>
      <c r="C19" s="29">
        <v>80.790348485414398</v>
      </c>
      <c r="D19" s="17"/>
      <c r="E19" s="29">
        <f t="shared" si="0"/>
        <v>37.133148404993072</v>
      </c>
      <c r="F19" s="32">
        <f t="shared" si="1"/>
        <v>238.86685159500695</v>
      </c>
      <c r="G19" s="17">
        <f t="shared" si="2"/>
        <v>12</v>
      </c>
      <c r="H19" s="18">
        <f t="shared" si="3"/>
        <v>12</v>
      </c>
      <c r="J19" s="34"/>
      <c r="K19" s="34" t="s">
        <v>280</v>
      </c>
      <c r="L19" s="34" t="s">
        <v>282</v>
      </c>
      <c r="M19" s="34" t="s">
        <v>283</v>
      </c>
      <c r="N19" s="34" t="s">
        <v>286</v>
      </c>
      <c r="Q19" s="47" t="str">
        <f t="shared" si="5"/>
        <v>5b</v>
      </c>
      <c r="R19" s="48" t="str">
        <f t="shared" si="6"/>
        <v>L18A</v>
      </c>
      <c r="S19" s="49"/>
      <c r="T19" s="50">
        <f t="shared" si="7"/>
        <v>37.133148404993072</v>
      </c>
      <c r="U19" s="50">
        <f t="shared" si="4"/>
        <v>6.3530454228358622</v>
      </c>
      <c r="V19" s="51">
        <f t="shared" si="8"/>
        <v>256.51380617217109</v>
      </c>
      <c r="W19" s="46"/>
      <c r="X19" s="47">
        <f>12</f>
        <v>12</v>
      </c>
      <c r="Y19" s="48">
        <f>60</f>
        <v>60</v>
      </c>
    </row>
    <row r="20" spans="1:25">
      <c r="A20" s="16" t="s">
        <v>121</v>
      </c>
      <c r="B20" s="18" t="s">
        <v>187</v>
      </c>
      <c r="C20" s="29">
        <v>80.790348485414398</v>
      </c>
      <c r="D20" s="17"/>
      <c r="E20" s="29">
        <f t="shared" si="0"/>
        <v>37.133148404993072</v>
      </c>
      <c r="F20" s="32">
        <f t="shared" si="1"/>
        <v>238.86685159500695</v>
      </c>
      <c r="G20" s="17">
        <f t="shared" si="2"/>
        <v>12</v>
      </c>
      <c r="H20" s="18">
        <f t="shared" si="3"/>
        <v>12</v>
      </c>
      <c r="J20" s="34" t="s">
        <v>279</v>
      </c>
      <c r="K20" s="34">
        <v>131.18</v>
      </c>
      <c r="L20" s="34"/>
      <c r="M20" s="37">
        <f>D2*$M$18/1000000*K20</f>
        <v>6.5590000000000011</v>
      </c>
      <c r="N20" s="34" t="s">
        <v>226</v>
      </c>
      <c r="Q20" s="47" t="str">
        <f t="shared" si="5"/>
        <v>5c</v>
      </c>
      <c r="R20" s="48" t="str">
        <f t="shared" si="6"/>
        <v>L18A</v>
      </c>
      <c r="S20" s="49"/>
      <c r="T20" s="50">
        <f t="shared" si="7"/>
        <v>37.133148404993072</v>
      </c>
      <c r="U20" s="50">
        <f t="shared" si="4"/>
        <v>6.3530454228358622</v>
      </c>
      <c r="V20" s="51">
        <f t="shared" si="8"/>
        <v>256.51380617217109</v>
      </c>
      <c r="W20" s="46"/>
      <c r="X20" s="47">
        <f>12</f>
        <v>12</v>
      </c>
      <c r="Y20" s="48">
        <f>60</f>
        <v>60</v>
      </c>
    </row>
    <row r="21" spans="1:25">
      <c r="A21" s="16" t="s">
        <v>122</v>
      </c>
      <c r="B21" s="18" t="s">
        <v>188</v>
      </c>
      <c r="C21" s="29">
        <v>106.76801254995701</v>
      </c>
      <c r="D21" s="17"/>
      <c r="E21" s="29">
        <f t="shared" si="0"/>
        <v>28.098303305929694</v>
      </c>
      <c r="F21" s="32">
        <f t="shared" si="1"/>
        <v>247.90169669407032</v>
      </c>
      <c r="G21" s="17">
        <f t="shared" si="2"/>
        <v>12</v>
      </c>
      <c r="H21" s="18">
        <f t="shared" si="3"/>
        <v>12</v>
      </c>
      <c r="J21" s="34" t="s">
        <v>281</v>
      </c>
      <c r="K21" s="34">
        <v>98.14</v>
      </c>
      <c r="L21" s="34">
        <v>0.84599999999999997</v>
      </c>
      <c r="M21" s="37">
        <f>D3*$M$18/1000000*K21/L21</f>
        <v>29.001182033096928</v>
      </c>
      <c r="N21" s="34" t="s">
        <v>227</v>
      </c>
      <c r="Q21" s="47" t="str">
        <f t="shared" si="5"/>
        <v>6a</v>
      </c>
      <c r="R21" s="48" t="str">
        <f t="shared" si="6"/>
        <v>N19A</v>
      </c>
      <c r="S21" s="49"/>
      <c r="T21" s="50">
        <f t="shared" si="7"/>
        <v>28.098303305929694</v>
      </c>
      <c r="U21" s="50">
        <f t="shared" si="4"/>
        <v>15.387890521899237</v>
      </c>
      <c r="V21" s="51">
        <f t="shared" si="8"/>
        <v>256.51380617217109</v>
      </c>
      <c r="W21" s="46"/>
      <c r="X21" s="47">
        <f>12</f>
        <v>12</v>
      </c>
      <c r="Y21" s="48">
        <f>60</f>
        <v>60</v>
      </c>
    </row>
    <row r="22" spans="1:25">
      <c r="A22" s="16" t="s">
        <v>123</v>
      </c>
      <c r="B22" s="18" t="s">
        <v>188</v>
      </c>
      <c r="C22" s="29">
        <v>106.76801254995701</v>
      </c>
      <c r="D22" s="17"/>
      <c r="E22" s="29">
        <f t="shared" si="0"/>
        <v>28.098303305929694</v>
      </c>
      <c r="F22" s="32">
        <f t="shared" si="1"/>
        <v>247.90169669407032</v>
      </c>
      <c r="G22" s="17">
        <f t="shared" si="2"/>
        <v>12</v>
      </c>
      <c r="H22" s="18">
        <f t="shared" si="3"/>
        <v>12</v>
      </c>
      <c r="Q22" s="47" t="str">
        <f t="shared" si="5"/>
        <v>6b</v>
      </c>
      <c r="R22" s="48" t="str">
        <f t="shared" si="6"/>
        <v>N19A</v>
      </c>
      <c r="S22" s="49"/>
      <c r="T22" s="50">
        <f t="shared" si="7"/>
        <v>28.098303305929694</v>
      </c>
      <c r="U22" s="50">
        <f t="shared" si="4"/>
        <v>15.387890521899237</v>
      </c>
      <c r="V22" s="51">
        <f t="shared" si="8"/>
        <v>256.51380617217109</v>
      </c>
      <c r="W22" s="46"/>
      <c r="X22" s="47">
        <f>12</f>
        <v>12</v>
      </c>
      <c r="Y22" s="48">
        <f>60</f>
        <v>60</v>
      </c>
    </row>
    <row r="23" spans="1:25">
      <c r="A23" s="16" t="s">
        <v>124</v>
      </c>
      <c r="B23" s="18" t="s">
        <v>188</v>
      </c>
      <c r="C23" s="29">
        <v>106.76801254995701</v>
      </c>
      <c r="D23" s="17"/>
      <c r="E23" s="29">
        <f t="shared" si="0"/>
        <v>28.098303305929694</v>
      </c>
      <c r="F23" s="32">
        <f t="shared" si="1"/>
        <v>247.90169669407032</v>
      </c>
      <c r="G23" s="17">
        <f t="shared" si="2"/>
        <v>12</v>
      </c>
      <c r="H23" s="18">
        <f t="shared" si="3"/>
        <v>12</v>
      </c>
      <c r="Q23" s="47" t="str">
        <f t="shared" si="5"/>
        <v>6c</v>
      </c>
      <c r="R23" s="48" t="str">
        <f t="shared" si="6"/>
        <v>N19A</v>
      </c>
      <c r="S23" s="49"/>
      <c r="T23" s="50">
        <f t="shared" si="7"/>
        <v>28.098303305929694</v>
      </c>
      <c r="U23" s="50">
        <f t="shared" si="4"/>
        <v>15.387890521899237</v>
      </c>
      <c r="V23" s="51">
        <f t="shared" si="8"/>
        <v>256.51380617217109</v>
      </c>
      <c r="W23" s="46"/>
      <c r="X23" s="47">
        <f>12</f>
        <v>12</v>
      </c>
      <c r="Y23" s="48">
        <f>60</f>
        <v>60</v>
      </c>
    </row>
    <row r="24" spans="1:25">
      <c r="A24" s="16" t="s">
        <v>125</v>
      </c>
      <c r="B24" s="18" t="s">
        <v>189</v>
      </c>
      <c r="C24" s="29">
        <v>109.942852874164</v>
      </c>
      <c r="D24" s="17"/>
      <c r="E24" s="29">
        <f t="shared" si="0"/>
        <v>27.286903346356446</v>
      </c>
      <c r="F24" s="32">
        <f t="shared" si="1"/>
        <v>248.71309665364356</v>
      </c>
      <c r="G24" s="17">
        <f t="shared" si="2"/>
        <v>12</v>
      </c>
      <c r="H24" s="18">
        <f t="shared" si="3"/>
        <v>12</v>
      </c>
      <c r="Q24" s="47" t="str">
        <f t="shared" si="5"/>
        <v>7a</v>
      </c>
      <c r="R24" s="48" t="str">
        <f t="shared" si="6"/>
        <v>K22A</v>
      </c>
      <c r="S24" s="49"/>
      <c r="T24" s="50">
        <f t="shared" si="7"/>
        <v>27.286903346356446</v>
      </c>
      <c r="U24" s="50">
        <f t="shared" si="4"/>
        <v>16.199290481472474</v>
      </c>
      <c r="V24" s="51">
        <f t="shared" si="8"/>
        <v>256.51380617217109</v>
      </c>
      <c r="W24" s="46"/>
      <c r="X24" s="47">
        <f>12</f>
        <v>12</v>
      </c>
      <c r="Y24" s="48">
        <f>60</f>
        <v>60</v>
      </c>
    </row>
    <row r="25" spans="1:25">
      <c r="A25" s="16" t="s">
        <v>126</v>
      </c>
      <c r="B25" s="18" t="s">
        <v>189</v>
      </c>
      <c r="C25" s="29">
        <v>109.942852874164</v>
      </c>
      <c r="D25" s="17"/>
      <c r="E25" s="29">
        <f t="shared" si="0"/>
        <v>27.286903346356446</v>
      </c>
      <c r="F25" s="32">
        <f t="shared" si="1"/>
        <v>248.71309665364356</v>
      </c>
      <c r="G25" s="17">
        <f t="shared" si="2"/>
        <v>12</v>
      </c>
      <c r="H25" s="18">
        <f t="shared" si="3"/>
        <v>12</v>
      </c>
      <c r="Q25" s="47" t="str">
        <f t="shared" si="5"/>
        <v>7b</v>
      </c>
      <c r="R25" s="48" t="str">
        <f t="shared" si="6"/>
        <v>K22A</v>
      </c>
      <c r="S25" s="49"/>
      <c r="T25" s="50">
        <f t="shared" si="7"/>
        <v>27.286903346356446</v>
      </c>
      <c r="U25" s="50">
        <f t="shared" si="4"/>
        <v>16.199290481472474</v>
      </c>
      <c r="V25" s="51">
        <f t="shared" si="8"/>
        <v>256.51380617217109</v>
      </c>
      <c r="W25" s="46"/>
      <c r="X25" s="47">
        <f>12</f>
        <v>12</v>
      </c>
      <c r="Y25" s="48">
        <f>60</f>
        <v>60</v>
      </c>
    </row>
    <row r="26" spans="1:25">
      <c r="A26" s="16" t="s">
        <v>127</v>
      </c>
      <c r="B26" s="18" t="s">
        <v>189</v>
      </c>
      <c r="C26" s="29">
        <v>109.942852874164</v>
      </c>
      <c r="D26" s="17"/>
      <c r="E26" s="29">
        <f t="shared" si="0"/>
        <v>27.286903346356446</v>
      </c>
      <c r="F26" s="32">
        <f t="shared" si="1"/>
        <v>248.71309665364356</v>
      </c>
      <c r="G26" s="17">
        <f t="shared" si="2"/>
        <v>12</v>
      </c>
      <c r="H26" s="18">
        <f t="shared" si="3"/>
        <v>12</v>
      </c>
      <c r="Q26" s="52" t="str">
        <f t="shared" si="5"/>
        <v>7c</v>
      </c>
      <c r="R26" s="53" t="str">
        <f t="shared" si="6"/>
        <v>K22A</v>
      </c>
      <c r="S26" s="54"/>
      <c r="T26" s="55">
        <f t="shared" si="7"/>
        <v>27.286903346356446</v>
      </c>
      <c r="U26" s="55">
        <f t="shared" si="4"/>
        <v>16.199290481472474</v>
      </c>
      <c r="V26" s="56">
        <f t="shared" si="8"/>
        <v>256.51380617217109</v>
      </c>
      <c r="W26" s="46"/>
      <c r="X26" s="47">
        <f>12</f>
        <v>12</v>
      </c>
      <c r="Y26" s="48">
        <f>60</f>
        <v>60</v>
      </c>
    </row>
    <row r="27" spans="1:25">
      <c r="A27" s="16" t="s">
        <v>128</v>
      </c>
      <c r="B27" s="18" t="s">
        <v>190</v>
      </c>
      <c r="C27" s="29">
        <v>145.10887834758901</v>
      </c>
      <c r="D27" s="17"/>
      <c r="E27" s="29">
        <f t="shared" si="0"/>
        <v>20.674131274131273</v>
      </c>
      <c r="F27" s="32">
        <f t="shared" si="1"/>
        <v>255.3258687258687</v>
      </c>
      <c r="G27" s="17">
        <f t="shared" si="2"/>
        <v>12</v>
      </c>
      <c r="H27" s="18">
        <f t="shared" si="3"/>
        <v>12</v>
      </c>
      <c r="Q27" s="84" t="str">
        <f>A69</f>
        <v>Neg a</v>
      </c>
      <c r="R27" s="85" t="str">
        <f>B69</f>
        <v>na</v>
      </c>
      <c r="S27" s="86"/>
      <c r="T27" s="87">
        <f>E69</f>
        <v>0</v>
      </c>
      <c r="U27" s="87">
        <f>$H$3-T27-V27</f>
        <v>43.486193827828913</v>
      </c>
      <c r="V27" s="88">
        <f>$L$13</f>
        <v>256.51380617217109</v>
      </c>
      <c r="W27" s="89"/>
      <c r="X27" s="90">
        <f>12</f>
        <v>12</v>
      </c>
      <c r="Y27" s="91">
        <f>60</f>
        <v>60</v>
      </c>
    </row>
    <row r="28" spans="1:25">
      <c r="A28" s="16" t="s">
        <v>129</v>
      </c>
      <c r="B28" s="18" t="s">
        <v>190</v>
      </c>
      <c r="C28" s="29">
        <v>145.10887834758901</v>
      </c>
      <c r="D28" s="17"/>
      <c r="E28" s="29">
        <f t="shared" si="0"/>
        <v>20.674131274131273</v>
      </c>
      <c r="F28" s="32">
        <f t="shared" si="1"/>
        <v>255.3258687258687</v>
      </c>
      <c r="G28" s="17">
        <f t="shared" si="2"/>
        <v>12</v>
      </c>
      <c r="H28" s="18">
        <f t="shared" si="3"/>
        <v>12</v>
      </c>
      <c r="Q28" s="10" t="s">
        <v>215</v>
      </c>
      <c r="R28" s="12" t="s">
        <v>106</v>
      </c>
      <c r="S28" s="11"/>
      <c r="T28" s="11" t="s">
        <v>177</v>
      </c>
      <c r="U28" s="24" t="s">
        <v>216</v>
      </c>
      <c r="V28" s="25" t="s">
        <v>217</v>
      </c>
      <c r="W28" s="8"/>
      <c r="X28" s="10" t="s">
        <v>228</v>
      </c>
      <c r="Y28" s="12" t="s">
        <v>219</v>
      </c>
    </row>
    <row r="29" spans="1:25">
      <c r="A29" s="16" t="s">
        <v>130</v>
      </c>
      <c r="B29" s="18" t="s">
        <v>190</v>
      </c>
      <c r="C29" s="29">
        <v>145.10887834758901</v>
      </c>
      <c r="D29" s="17"/>
      <c r="E29" s="29">
        <f t="shared" si="0"/>
        <v>20.674131274131273</v>
      </c>
      <c r="F29" s="32">
        <f t="shared" si="1"/>
        <v>255.3258687258687</v>
      </c>
      <c r="G29" s="17">
        <f t="shared" si="2"/>
        <v>12</v>
      </c>
      <c r="H29" s="18">
        <f t="shared" si="3"/>
        <v>12</v>
      </c>
      <c r="J29" s="35" t="s">
        <v>206</v>
      </c>
      <c r="K29" s="35"/>
      <c r="L29" s="35" t="s">
        <v>207</v>
      </c>
      <c r="M29" s="35"/>
      <c r="N29" s="35">
        <v>5371.0689225771521</v>
      </c>
      <c r="Q29" s="57" t="str">
        <f t="shared" ref="Q29:Q49" si="9">A27</f>
        <v>8a</v>
      </c>
      <c r="R29" s="58" t="str">
        <f t="shared" ref="R29:R49" si="10">B27</f>
        <v>N88A</v>
      </c>
      <c r="S29" s="59"/>
      <c r="T29" s="60">
        <f t="shared" ref="T29:T49" si="11">E27</f>
        <v>20.674131274131273</v>
      </c>
      <c r="U29" s="60">
        <f t="shared" ref="U29:U50" si="12">$H$3-T29-V29</f>
        <v>22.812062553697615</v>
      </c>
      <c r="V29" s="61">
        <f t="shared" si="8"/>
        <v>256.51380617217109</v>
      </c>
      <c r="W29" s="62"/>
      <c r="X29" s="63">
        <f>12</f>
        <v>12</v>
      </c>
      <c r="Y29" s="64">
        <f>60</f>
        <v>60</v>
      </c>
    </row>
    <row r="30" spans="1:25">
      <c r="A30" s="16" t="s">
        <v>131</v>
      </c>
      <c r="B30" s="18" t="s">
        <v>191</v>
      </c>
      <c r="C30" s="29">
        <v>91.285997086617101</v>
      </c>
      <c r="D30" s="17"/>
      <c r="E30" s="29">
        <f t="shared" si="0"/>
        <v>32.86374795417349</v>
      </c>
      <c r="F30" s="32">
        <f t="shared" si="1"/>
        <v>243.1362520458265</v>
      </c>
      <c r="G30" s="17">
        <f t="shared" si="2"/>
        <v>12</v>
      </c>
      <c r="H30" s="18">
        <f t="shared" si="3"/>
        <v>12</v>
      </c>
      <c r="J30" s="35" t="s">
        <v>210</v>
      </c>
      <c r="K30" s="35"/>
      <c r="L30" s="35" t="s">
        <v>208</v>
      </c>
      <c r="M30" s="35"/>
      <c r="N30" s="35">
        <v>277.2</v>
      </c>
      <c r="Q30" s="63" t="str">
        <f t="shared" si="9"/>
        <v>8b</v>
      </c>
      <c r="R30" s="64" t="str">
        <f t="shared" si="10"/>
        <v>N88A</v>
      </c>
      <c r="S30" s="65"/>
      <c r="T30" s="66">
        <f t="shared" si="11"/>
        <v>20.674131274131273</v>
      </c>
      <c r="U30" s="66">
        <f t="shared" si="12"/>
        <v>22.812062553697615</v>
      </c>
      <c r="V30" s="67">
        <f t="shared" si="8"/>
        <v>256.51380617217109</v>
      </c>
      <c r="W30" s="62"/>
      <c r="X30" s="63">
        <f>12</f>
        <v>12</v>
      </c>
      <c r="Y30" s="64">
        <f>60</f>
        <v>60</v>
      </c>
    </row>
    <row r="31" spans="1:25">
      <c r="A31" s="16" t="s">
        <v>132</v>
      </c>
      <c r="B31" s="18" t="s">
        <v>191</v>
      </c>
      <c r="C31" s="29">
        <v>91.285997086617101</v>
      </c>
      <c r="D31" s="17"/>
      <c r="E31" s="29">
        <f t="shared" si="0"/>
        <v>32.86374795417349</v>
      </c>
      <c r="F31" s="32">
        <f t="shared" si="1"/>
        <v>243.1362520458265</v>
      </c>
      <c r="G31" s="17">
        <f t="shared" si="2"/>
        <v>12</v>
      </c>
      <c r="H31" s="18">
        <f t="shared" si="3"/>
        <v>12</v>
      </c>
      <c r="J31" s="35"/>
      <c r="K31" s="35"/>
      <c r="L31" s="35" t="s">
        <v>209</v>
      </c>
      <c r="M31" s="35"/>
      <c r="N31" s="35">
        <v>277.2</v>
      </c>
      <c r="Q31" s="63" t="str">
        <f t="shared" si="9"/>
        <v>8c</v>
      </c>
      <c r="R31" s="64" t="str">
        <f t="shared" si="10"/>
        <v>N88A</v>
      </c>
      <c r="S31" s="65"/>
      <c r="T31" s="66">
        <f t="shared" si="11"/>
        <v>20.674131274131273</v>
      </c>
      <c r="U31" s="66">
        <f t="shared" si="12"/>
        <v>22.812062553697615</v>
      </c>
      <c r="V31" s="67">
        <f t="shared" si="8"/>
        <v>256.51380617217109</v>
      </c>
      <c r="W31" s="62"/>
      <c r="X31" s="63">
        <f>12</f>
        <v>12</v>
      </c>
      <c r="Y31" s="64">
        <f>60</f>
        <v>60</v>
      </c>
    </row>
    <row r="32" spans="1:25">
      <c r="A32" s="16" t="s">
        <v>133</v>
      </c>
      <c r="B32" s="18" t="s">
        <v>191</v>
      </c>
      <c r="C32" s="29">
        <v>91.285997086617101</v>
      </c>
      <c r="D32" s="17"/>
      <c r="E32" s="29">
        <f t="shared" si="0"/>
        <v>32.86374795417349</v>
      </c>
      <c r="F32" s="32">
        <f t="shared" si="1"/>
        <v>243.1362520458265</v>
      </c>
      <c r="G32" s="17">
        <f t="shared" si="2"/>
        <v>12</v>
      </c>
      <c r="H32" s="18">
        <f t="shared" si="3"/>
        <v>12</v>
      </c>
      <c r="J32" s="35"/>
      <c r="K32" s="35"/>
      <c r="L32" s="35" t="s">
        <v>212</v>
      </c>
      <c r="M32" s="35"/>
      <c r="N32" s="35">
        <v>5925.4689225771517</v>
      </c>
      <c r="Q32" s="63" t="str">
        <f t="shared" si="9"/>
        <v>9a</v>
      </c>
      <c r="R32" s="64" t="str">
        <f t="shared" si="10"/>
        <v>M89A</v>
      </c>
      <c r="S32" s="65"/>
      <c r="T32" s="66">
        <f t="shared" si="11"/>
        <v>32.86374795417349</v>
      </c>
      <c r="U32" s="66">
        <f t="shared" si="12"/>
        <v>10.622445873655408</v>
      </c>
      <c r="V32" s="67">
        <f t="shared" si="8"/>
        <v>256.51380617217109</v>
      </c>
      <c r="W32" s="62"/>
      <c r="X32" s="63">
        <f>12</f>
        <v>12</v>
      </c>
      <c r="Y32" s="64">
        <f>60</f>
        <v>60</v>
      </c>
    </row>
    <row r="33" spans="1:25">
      <c r="A33" s="16" t="s">
        <v>134</v>
      </c>
      <c r="B33" s="18" t="s">
        <v>192</v>
      </c>
      <c r="C33" s="29">
        <v>170.07806372091301</v>
      </c>
      <c r="D33" s="17"/>
      <c r="E33" s="29">
        <f t="shared" si="0"/>
        <v>17.638959042494768</v>
      </c>
      <c r="F33" s="32">
        <f t="shared" si="1"/>
        <v>258.36104095750522</v>
      </c>
      <c r="G33" s="17">
        <f t="shared" si="2"/>
        <v>12</v>
      </c>
      <c r="H33" s="18">
        <f t="shared" si="3"/>
        <v>12</v>
      </c>
      <c r="Q33" s="63" t="str">
        <f t="shared" si="9"/>
        <v>9b</v>
      </c>
      <c r="R33" s="64" t="str">
        <f t="shared" si="10"/>
        <v>M89A</v>
      </c>
      <c r="S33" s="65"/>
      <c r="T33" s="66">
        <f t="shared" si="11"/>
        <v>32.86374795417349</v>
      </c>
      <c r="U33" s="66">
        <f t="shared" si="12"/>
        <v>10.622445873655408</v>
      </c>
      <c r="V33" s="67">
        <f t="shared" si="8"/>
        <v>256.51380617217109</v>
      </c>
      <c r="W33" s="62"/>
      <c r="X33" s="63">
        <f>12</f>
        <v>12</v>
      </c>
      <c r="Y33" s="64">
        <f>60</f>
        <v>60</v>
      </c>
    </row>
    <row r="34" spans="1:25">
      <c r="A34" s="16" t="s">
        <v>135</v>
      </c>
      <c r="B34" s="18" t="s">
        <v>192</v>
      </c>
      <c r="C34" s="29">
        <v>170.07806372091301</v>
      </c>
      <c r="D34" s="17"/>
      <c r="E34" s="29">
        <f t="shared" si="0"/>
        <v>17.638959042494768</v>
      </c>
      <c r="F34" s="32">
        <f t="shared" si="1"/>
        <v>258.36104095750522</v>
      </c>
      <c r="G34" s="17">
        <f t="shared" si="2"/>
        <v>12</v>
      </c>
      <c r="H34" s="18">
        <f t="shared" si="3"/>
        <v>12</v>
      </c>
      <c r="J34" t="s">
        <v>213</v>
      </c>
      <c r="L34">
        <v>256.51380617217109</v>
      </c>
      <c r="Q34" s="63" t="str">
        <f t="shared" si="9"/>
        <v>9c</v>
      </c>
      <c r="R34" s="64" t="str">
        <f t="shared" si="10"/>
        <v>M89A</v>
      </c>
      <c r="S34" s="65"/>
      <c r="T34" s="66">
        <f t="shared" si="11"/>
        <v>32.86374795417349</v>
      </c>
      <c r="U34" s="66">
        <f t="shared" si="12"/>
        <v>10.622445873655408</v>
      </c>
      <c r="V34" s="67">
        <f t="shared" si="8"/>
        <v>256.51380617217109</v>
      </c>
      <c r="W34" s="62"/>
      <c r="X34" s="63">
        <f>12</f>
        <v>12</v>
      </c>
      <c r="Y34" s="64">
        <f>60</f>
        <v>60</v>
      </c>
    </row>
    <row r="35" spans="1:25">
      <c r="A35" s="16" t="s">
        <v>136</v>
      </c>
      <c r="B35" s="18" t="s">
        <v>192</v>
      </c>
      <c r="C35" s="29">
        <v>170.07806372091301</v>
      </c>
      <c r="D35" s="17"/>
      <c r="E35" s="29">
        <f t="shared" si="0"/>
        <v>17.638959042494768</v>
      </c>
      <c r="F35" s="32">
        <f t="shared" si="1"/>
        <v>258.36104095750522</v>
      </c>
      <c r="G35" s="17">
        <f t="shared" si="2"/>
        <v>12</v>
      </c>
      <c r="H35" s="18">
        <f t="shared" si="3"/>
        <v>12</v>
      </c>
      <c r="Q35" s="63" t="str">
        <f t="shared" si="9"/>
        <v>10a</v>
      </c>
      <c r="R35" s="64" t="str">
        <f t="shared" si="10"/>
        <v>A92E</v>
      </c>
      <c r="S35" s="65"/>
      <c r="T35" s="66">
        <f t="shared" si="11"/>
        <v>17.638959042494768</v>
      </c>
      <c r="U35" s="66">
        <f t="shared" si="12"/>
        <v>25.847234785334138</v>
      </c>
      <c r="V35" s="67">
        <f t="shared" si="8"/>
        <v>256.51380617217109</v>
      </c>
      <c r="W35" s="62"/>
      <c r="X35" s="63">
        <f>12</f>
        <v>12</v>
      </c>
      <c r="Y35" s="64">
        <f>60</f>
        <v>60</v>
      </c>
    </row>
    <row r="36" spans="1:25">
      <c r="A36" s="16" t="s">
        <v>137</v>
      </c>
      <c r="B36" s="18" t="s">
        <v>193</v>
      </c>
      <c r="C36" s="29">
        <v>106.599932768087</v>
      </c>
      <c r="D36" s="17"/>
      <c r="E36" s="29">
        <f t="shared" si="0"/>
        <v>28.142606867554374</v>
      </c>
      <c r="F36" s="32">
        <f t="shared" si="1"/>
        <v>247.85739313244562</v>
      </c>
      <c r="G36" s="17">
        <f t="shared" si="2"/>
        <v>12</v>
      </c>
      <c r="H36" s="18">
        <f t="shared" si="3"/>
        <v>12</v>
      </c>
      <c r="J36" t="s">
        <v>299</v>
      </c>
      <c r="L36">
        <v>29.999639999999999</v>
      </c>
      <c r="M36" t="s">
        <v>226</v>
      </c>
      <c r="N36">
        <v>1499.982</v>
      </c>
      <c r="O36" t="s">
        <v>227</v>
      </c>
      <c r="Q36" s="63" t="str">
        <f t="shared" si="9"/>
        <v>10b</v>
      </c>
      <c r="R36" s="64" t="str">
        <f t="shared" si="10"/>
        <v>A92E</v>
      </c>
      <c r="S36" s="65"/>
      <c r="T36" s="66">
        <f t="shared" si="11"/>
        <v>17.638959042494768</v>
      </c>
      <c r="U36" s="66">
        <f t="shared" si="12"/>
        <v>25.847234785334138</v>
      </c>
      <c r="V36" s="67">
        <f t="shared" si="8"/>
        <v>256.51380617217109</v>
      </c>
      <c r="W36" s="62"/>
      <c r="X36" s="63">
        <f>12</f>
        <v>12</v>
      </c>
      <c r="Y36" s="64">
        <f>60</f>
        <v>60</v>
      </c>
    </row>
    <row r="37" spans="1:25">
      <c r="A37" s="16" t="s">
        <v>138</v>
      </c>
      <c r="B37" s="18" t="s">
        <v>193</v>
      </c>
      <c r="C37" s="29">
        <v>106.599932768087</v>
      </c>
      <c r="D37" s="17"/>
      <c r="E37" s="29">
        <f t="shared" si="0"/>
        <v>28.142606867554374</v>
      </c>
      <c r="F37" s="32">
        <f t="shared" si="1"/>
        <v>247.85739313244562</v>
      </c>
      <c r="G37" s="17">
        <f t="shared" si="2"/>
        <v>12</v>
      </c>
      <c r="H37" s="18">
        <f t="shared" si="3"/>
        <v>12</v>
      </c>
      <c r="Q37" s="63" t="str">
        <f t="shared" si="9"/>
        <v>10c</v>
      </c>
      <c r="R37" s="64" t="str">
        <f t="shared" si="10"/>
        <v>A92E</v>
      </c>
      <c r="S37" s="65"/>
      <c r="T37" s="66">
        <f t="shared" si="11"/>
        <v>17.638959042494768</v>
      </c>
      <c r="U37" s="66">
        <f t="shared" si="12"/>
        <v>25.847234785334138</v>
      </c>
      <c r="V37" s="67">
        <f t="shared" si="8"/>
        <v>256.51380617217109</v>
      </c>
      <c r="W37" s="62"/>
      <c r="X37" s="63">
        <f>12</f>
        <v>12</v>
      </c>
      <c r="Y37" s="64">
        <f>60</f>
        <v>60</v>
      </c>
    </row>
    <row r="38" spans="1:25">
      <c r="A38" s="16" t="s">
        <v>139</v>
      </c>
      <c r="B38" s="18" t="s">
        <v>193</v>
      </c>
      <c r="C38" s="29">
        <v>106.599932768087</v>
      </c>
      <c r="D38" s="17"/>
      <c r="E38" s="29">
        <f t="shared" si="0"/>
        <v>28.142606867554374</v>
      </c>
      <c r="F38" s="32">
        <f t="shared" si="1"/>
        <v>247.85739313244562</v>
      </c>
      <c r="G38" s="17">
        <f t="shared" si="2"/>
        <v>12</v>
      </c>
      <c r="H38" s="18">
        <f t="shared" si="3"/>
        <v>12</v>
      </c>
      <c r="Q38" s="63" t="str">
        <f t="shared" si="9"/>
        <v>11a</v>
      </c>
      <c r="R38" s="64" t="str">
        <f t="shared" si="10"/>
        <v>F93A</v>
      </c>
      <c r="S38" s="65"/>
      <c r="T38" s="66">
        <f t="shared" si="11"/>
        <v>28.142606867554374</v>
      </c>
      <c r="U38" s="66">
        <f t="shared" si="12"/>
        <v>15.343586960274536</v>
      </c>
      <c r="V38" s="67">
        <f t="shared" si="8"/>
        <v>256.51380617217109</v>
      </c>
      <c r="W38" s="62"/>
      <c r="X38" s="63">
        <f>12</f>
        <v>12</v>
      </c>
      <c r="Y38" s="64">
        <f>60</f>
        <v>60</v>
      </c>
    </row>
    <row r="39" spans="1:25">
      <c r="A39" s="16" t="s">
        <v>140</v>
      </c>
      <c r="B39" s="18" t="s">
        <v>194</v>
      </c>
      <c r="C39" s="29">
        <v>102.696746722444</v>
      </c>
      <c r="D39" s="17"/>
      <c r="E39" s="29">
        <f t="shared" si="0"/>
        <v>29.212220403709836</v>
      </c>
      <c r="F39" s="32">
        <f t="shared" si="1"/>
        <v>246.78777959629019</v>
      </c>
      <c r="G39" s="17">
        <f t="shared" si="2"/>
        <v>12</v>
      </c>
      <c r="H39" s="18">
        <f t="shared" si="3"/>
        <v>12</v>
      </c>
      <c r="Q39" s="63" t="str">
        <f t="shared" si="9"/>
        <v>11b</v>
      </c>
      <c r="R39" s="64" t="str">
        <f t="shared" si="10"/>
        <v>F93A</v>
      </c>
      <c r="S39" s="65"/>
      <c r="T39" s="66">
        <f t="shared" si="11"/>
        <v>28.142606867554374</v>
      </c>
      <c r="U39" s="66">
        <f t="shared" si="12"/>
        <v>15.343586960274536</v>
      </c>
      <c r="V39" s="67">
        <f t="shared" si="8"/>
        <v>256.51380617217109</v>
      </c>
      <c r="W39" s="62"/>
      <c r="X39" s="63">
        <f>12</f>
        <v>12</v>
      </c>
      <c r="Y39" s="64">
        <f>60</f>
        <v>60</v>
      </c>
    </row>
    <row r="40" spans="1:25">
      <c r="A40" s="16" t="s">
        <v>141</v>
      </c>
      <c r="B40" s="18" t="s">
        <v>194</v>
      </c>
      <c r="C40" s="29">
        <v>102.696746722444</v>
      </c>
      <c r="D40" s="17"/>
      <c r="E40" s="29">
        <f t="shared" si="0"/>
        <v>29.212220403709836</v>
      </c>
      <c r="F40" s="32">
        <f t="shared" si="1"/>
        <v>246.78777959629019</v>
      </c>
      <c r="G40" s="17">
        <f t="shared" si="2"/>
        <v>12</v>
      </c>
      <c r="H40" s="18">
        <f t="shared" si="3"/>
        <v>12</v>
      </c>
      <c r="Q40" s="63" t="str">
        <f t="shared" si="9"/>
        <v>11c</v>
      </c>
      <c r="R40" s="64" t="str">
        <f t="shared" si="10"/>
        <v>F93A</v>
      </c>
      <c r="S40" s="65"/>
      <c r="T40" s="66">
        <f t="shared" si="11"/>
        <v>28.142606867554374</v>
      </c>
      <c r="U40" s="66">
        <f t="shared" si="12"/>
        <v>15.343586960274536</v>
      </c>
      <c r="V40" s="67">
        <f t="shared" si="8"/>
        <v>256.51380617217109</v>
      </c>
      <c r="W40" s="62"/>
      <c r="X40" s="63">
        <f>12</f>
        <v>12</v>
      </c>
      <c r="Y40" s="64">
        <f>60</f>
        <v>60</v>
      </c>
    </row>
    <row r="41" spans="1:25">
      <c r="A41" s="16" t="s">
        <v>142</v>
      </c>
      <c r="B41" s="18" t="s">
        <v>194</v>
      </c>
      <c r="C41" s="29">
        <v>102.696746722444</v>
      </c>
      <c r="D41" s="17"/>
      <c r="E41" s="29">
        <f t="shared" si="0"/>
        <v>29.212220403709836</v>
      </c>
      <c r="F41" s="32">
        <f t="shared" si="1"/>
        <v>246.78777959629019</v>
      </c>
      <c r="G41" s="17">
        <f t="shared" si="2"/>
        <v>12</v>
      </c>
      <c r="H41" s="18">
        <f t="shared" si="3"/>
        <v>12</v>
      </c>
      <c r="Q41" s="63" t="str">
        <f t="shared" si="9"/>
        <v>12a</v>
      </c>
      <c r="R41" s="64" t="str">
        <f t="shared" si="10"/>
        <v>S95A</v>
      </c>
      <c r="S41" s="65"/>
      <c r="T41" s="66">
        <f t="shared" si="11"/>
        <v>29.212220403709836</v>
      </c>
      <c r="U41" s="66">
        <f t="shared" si="12"/>
        <v>14.273973424119106</v>
      </c>
      <c r="V41" s="67">
        <f t="shared" si="8"/>
        <v>256.51380617217109</v>
      </c>
      <c r="W41" s="62"/>
      <c r="X41" s="63">
        <f>12</f>
        <v>12</v>
      </c>
      <c r="Y41" s="64">
        <f>60</f>
        <v>60</v>
      </c>
    </row>
    <row r="42" spans="1:25">
      <c r="A42" s="16" t="s">
        <v>143</v>
      </c>
      <c r="B42" s="18" t="s">
        <v>195</v>
      </c>
      <c r="C42" s="29">
        <v>112.23994322638499</v>
      </c>
      <c r="D42" s="17"/>
      <c r="E42" s="29">
        <f t="shared" si="0"/>
        <v>26.728452579034894</v>
      </c>
      <c r="F42" s="32">
        <f t="shared" si="1"/>
        <v>249.27154742096513</v>
      </c>
      <c r="G42" s="17">
        <f t="shared" si="2"/>
        <v>12</v>
      </c>
      <c r="H42" s="18">
        <f t="shared" si="3"/>
        <v>12</v>
      </c>
      <c r="Q42" s="63" t="str">
        <f t="shared" si="9"/>
        <v>12b</v>
      </c>
      <c r="R42" s="64" t="str">
        <f t="shared" si="10"/>
        <v>S95A</v>
      </c>
      <c r="S42" s="65"/>
      <c r="T42" s="66">
        <f t="shared" si="11"/>
        <v>29.212220403709836</v>
      </c>
      <c r="U42" s="66">
        <f t="shared" si="12"/>
        <v>14.273973424119106</v>
      </c>
      <c r="V42" s="67">
        <f t="shared" si="8"/>
        <v>256.51380617217109</v>
      </c>
      <c r="W42" s="62"/>
      <c r="X42" s="63">
        <f>12</f>
        <v>12</v>
      </c>
      <c r="Y42" s="64">
        <f>60</f>
        <v>60</v>
      </c>
    </row>
    <row r="43" spans="1:25">
      <c r="A43" s="16" t="s">
        <v>144</v>
      </c>
      <c r="B43" s="18" t="s">
        <v>195</v>
      </c>
      <c r="C43" s="29">
        <v>112.23994322638499</v>
      </c>
      <c r="D43" s="17"/>
      <c r="E43" s="29">
        <f t="shared" si="0"/>
        <v>26.728452579034894</v>
      </c>
      <c r="F43" s="32">
        <f t="shared" si="1"/>
        <v>249.27154742096513</v>
      </c>
      <c r="G43" s="17">
        <f t="shared" si="2"/>
        <v>12</v>
      </c>
      <c r="H43" s="18">
        <f t="shared" si="3"/>
        <v>12</v>
      </c>
      <c r="Q43" s="63" t="str">
        <f t="shared" si="9"/>
        <v>12c</v>
      </c>
      <c r="R43" s="64" t="str">
        <f t="shared" si="10"/>
        <v>S95A</v>
      </c>
      <c r="S43" s="65"/>
      <c r="T43" s="66">
        <f t="shared" si="11"/>
        <v>29.212220403709836</v>
      </c>
      <c r="U43" s="66">
        <f t="shared" si="12"/>
        <v>14.273973424119106</v>
      </c>
      <c r="V43" s="67">
        <f t="shared" si="8"/>
        <v>256.51380617217109</v>
      </c>
      <c r="W43" s="62"/>
      <c r="X43" s="63">
        <f>12</f>
        <v>12</v>
      </c>
      <c r="Y43" s="64">
        <f>60</f>
        <v>60</v>
      </c>
    </row>
    <row r="44" spans="1:25">
      <c r="A44" s="16" t="s">
        <v>145</v>
      </c>
      <c r="B44" s="18" t="s">
        <v>195</v>
      </c>
      <c r="C44" s="29">
        <v>112.23994322638499</v>
      </c>
      <c r="D44" s="17"/>
      <c r="E44" s="29">
        <f t="shared" si="0"/>
        <v>26.728452579034894</v>
      </c>
      <c r="F44" s="32">
        <f t="shared" si="1"/>
        <v>249.27154742096513</v>
      </c>
      <c r="G44" s="17">
        <f t="shared" si="2"/>
        <v>12</v>
      </c>
      <c r="H44" s="18">
        <f t="shared" si="3"/>
        <v>12</v>
      </c>
      <c r="Q44" s="63" t="str">
        <f t="shared" si="9"/>
        <v>13a</v>
      </c>
      <c r="R44" s="64" t="str">
        <f t="shared" si="10"/>
        <v>S97A</v>
      </c>
      <c r="S44" s="65"/>
      <c r="T44" s="66">
        <f t="shared" si="11"/>
        <v>26.728452579034894</v>
      </c>
      <c r="U44" s="66">
        <f t="shared" si="12"/>
        <v>16.757741248794048</v>
      </c>
      <c r="V44" s="67">
        <f t="shared" si="8"/>
        <v>256.51380617217109</v>
      </c>
      <c r="W44" s="62"/>
      <c r="X44" s="63">
        <f>12</f>
        <v>12</v>
      </c>
      <c r="Y44" s="64">
        <f>60</f>
        <v>60</v>
      </c>
    </row>
    <row r="45" spans="1:25">
      <c r="A45" s="16" t="s">
        <v>146</v>
      </c>
      <c r="B45" s="18" t="s">
        <v>196</v>
      </c>
      <c r="C45" s="29">
        <v>86.990624883277903</v>
      </c>
      <c r="D45" s="17"/>
      <c r="E45" s="29">
        <f t="shared" si="0"/>
        <v>34.486474881923584</v>
      </c>
      <c r="F45" s="32">
        <f t="shared" si="1"/>
        <v>241.51352511807642</v>
      </c>
      <c r="G45" s="17">
        <f t="shared" si="2"/>
        <v>12</v>
      </c>
      <c r="H45" s="18">
        <f t="shared" si="3"/>
        <v>12</v>
      </c>
      <c r="Q45" s="63" t="str">
        <f t="shared" si="9"/>
        <v>13b</v>
      </c>
      <c r="R45" s="64" t="str">
        <f t="shared" si="10"/>
        <v>S97A</v>
      </c>
      <c r="S45" s="65"/>
      <c r="T45" s="66">
        <f t="shared" si="11"/>
        <v>26.728452579034894</v>
      </c>
      <c r="U45" s="66">
        <f t="shared" si="12"/>
        <v>16.757741248794048</v>
      </c>
      <c r="V45" s="67">
        <f t="shared" si="8"/>
        <v>256.51380617217109</v>
      </c>
      <c r="W45" s="62"/>
      <c r="X45" s="63">
        <f>12</f>
        <v>12</v>
      </c>
      <c r="Y45" s="64">
        <f>60</f>
        <v>60</v>
      </c>
    </row>
    <row r="46" spans="1:25">
      <c r="A46" s="16" t="s">
        <v>147</v>
      </c>
      <c r="B46" s="18" t="s">
        <v>196</v>
      </c>
      <c r="C46" s="29">
        <v>86.990624883277903</v>
      </c>
      <c r="D46" s="17"/>
      <c r="E46" s="29">
        <f t="shared" si="0"/>
        <v>34.486474881923584</v>
      </c>
      <c r="F46" s="32">
        <f t="shared" si="1"/>
        <v>241.51352511807642</v>
      </c>
      <c r="G46" s="17">
        <f t="shared" si="2"/>
        <v>12</v>
      </c>
      <c r="H46" s="18">
        <f t="shared" si="3"/>
        <v>12</v>
      </c>
      <c r="Q46" s="63" t="str">
        <f t="shared" si="9"/>
        <v>13c</v>
      </c>
      <c r="R46" s="64" t="str">
        <f t="shared" si="10"/>
        <v>S97A</v>
      </c>
      <c r="S46" s="65"/>
      <c r="T46" s="66">
        <f t="shared" si="11"/>
        <v>26.728452579034894</v>
      </c>
      <c r="U46" s="66">
        <f t="shared" si="12"/>
        <v>16.757741248794048</v>
      </c>
      <c r="V46" s="67">
        <f t="shared" si="8"/>
        <v>256.51380617217109</v>
      </c>
      <c r="W46" s="62"/>
      <c r="X46" s="63">
        <f>12</f>
        <v>12</v>
      </c>
      <c r="Y46" s="64">
        <f>60</f>
        <v>60</v>
      </c>
    </row>
    <row r="47" spans="1:25">
      <c r="A47" s="16" t="s">
        <v>148</v>
      </c>
      <c r="B47" s="18" t="s">
        <v>196</v>
      </c>
      <c r="C47" s="29">
        <v>86.990624883277903</v>
      </c>
      <c r="D47" s="17"/>
      <c r="E47" s="29">
        <f t="shared" si="0"/>
        <v>34.486474881923584</v>
      </c>
      <c r="F47" s="32">
        <f t="shared" si="1"/>
        <v>241.51352511807642</v>
      </c>
      <c r="G47" s="17">
        <f t="shared" si="2"/>
        <v>12</v>
      </c>
      <c r="H47" s="18">
        <f t="shared" si="3"/>
        <v>12</v>
      </c>
      <c r="Q47" s="63" t="str">
        <f t="shared" si="9"/>
        <v>14a</v>
      </c>
      <c r="R47" s="64" t="str">
        <f t="shared" si="10"/>
        <v>D100A</v>
      </c>
      <c r="S47" s="65"/>
      <c r="T47" s="66">
        <f t="shared" si="11"/>
        <v>34.486474881923584</v>
      </c>
      <c r="U47" s="66">
        <f t="shared" si="12"/>
        <v>8.9997189459053288</v>
      </c>
      <c r="V47" s="67">
        <f t="shared" si="8"/>
        <v>256.51380617217109</v>
      </c>
      <c r="W47" s="62"/>
      <c r="X47" s="63">
        <f>12</f>
        <v>12</v>
      </c>
      <c r="Y47" s="64">
        <f>60</f>
        <v>60</v>
      </c>
    </row>
    <row r="48" spans="1:25">
      <c r="A48" s="16" t="s">
        <v>149</v>
      </c>
      <c r="B48" s="18" t="s">
        <v>197</v>
      </c>
      <c r="C48" s="104">
        <v>86.000821723378039</v>
      </c>
      <c r="D48" s="17"/>
      <c r="E48" s="29">
        <f t="shared" si="0"/>
        <v>34.883387622149833</v>
      </c>
      <c r="F48" s="32">
        <f t="shared" si="1"/>
        <v>241.11661237785017</v>
      </c>
      <c r="G48" s="17">
        <f t="shared" si="2"/>
        <v>12</v>
      </c>
      <c r="H48" s="18">
        <f t="shared" si="3"/>
        <v>12</v>
      </c>
      <c r="Q48" s="63" t="str">
        <f t="shared" si="9"/>
        <v>14b</v>
      </c>
      <c r="R48" s="64" t="str">
        <f t="shared" si="10"/>
        <v>D100A</v>
      </c>
      <c r="S48" s="65"/>
      <c r="T48" s="66">
        <f t="shared" si="11"/>
        <v>34.486474881923584</v>
      </c>
      <c r="U48" s="66">
        <f t="shared" si="12"/>
        <v>8.9997189459053288</v>
      </c>
      <c r="V48" s="67">
        <f t="shared" si="8"/>
        <v>256.51380617217109</v>
      </c>
      <c r="W48" s="62"/>
      <c r="X48" s="63">
        <f>12</f>
        <v>12</v>
      </c>
      <c r="Y48" s="64">
        <f>60</f>
        <v>60</v>
      </c>
    </row>
    <row r="49" spans="1:25">
      <c r="A49" s="16" t="s">
        <v>150</v>
      </c>
      <c r="B49" s="18" t="s">
        <v>197</v>
      </c>
      <c r="C49" s="104">
        <v>86.000821723378039</v>
      </c>
      <c r="D49" s="17"/>
      <c r="E49" s="29">
        <f t="shared" si="0"/>
        <v>34.883387622149833</v>
      </c>
      <c r="F49" s="32">
        <f t="shared" si="1"/>
        <v>241.11661237785017</v>
      </c>
      <c r="G49" s="17">
        <f t="shared" si="2"/>
        <v>12</v>
      </c>
      <c r="H49" s="18">
        <f t="shared" si="3"/>
        <v>12</v>
      </c>
      <c r="K49" s="8"/>
      <c r="Q49" s="68" t="str">
        <f t="shared" si="9"/>
        <v>14c</v>
      </c>
      <c r="R49" s="69" t="str">
        <f t="shared" si="10"/>
        <v>D100A</v>
      </c>
      <c r="S49" s="70"/>
      <c r="T49" s="71">
        <f t="shared" si="11"/>
        <v>34.486474881923584</v>
      </c>
      <c r="U49" s="71">
        <f t="shared" si="12"/>
        <v>8.9997189459053288</v>
      </c>
      <c r="V49" s="72">
        <f t="shared" si="8"/>
        <v>256.51380617217109</v>
      </c>
      <c r="W49" s="62"/>
      <c r="X49" s="63">
        <f>12</f>
        <v>12</v>
      </c>
      <c r="Y49" s="64">
        <f>60</f>
        <v>60</v>
      </c>
    </row>
    <row r="50" spans="1:25">
      <c r="A50" s="16" t="s">
        <v>151</v>
      </c>
      <c r="B50" s="18" t="s">
        <v>197</v>
      </c>
      <c r="C50" s="104">
        <v>86.000821723378039</v>
      </c>
      <c r="D50" s="17"/>
      <c r="E50" s="29">
        <f t="shared" si="0"/>
        <v>34.883387622149833</v>
      </c>
      <c r="F50" s="32">
        <f t="shared" si="1"/>
        <v>241.11661237785017</v>
      </c>
      <c r="G50" s="17">
        <f t="shared" si="2"/>
        <v>12</v>
      </c>
      <c r="H50" s="18">
        <f t="shared" si="3"/>
        <v>12</v>
      </c>
      <c r="K50" s="8"/>
      <c r="Q50" s="63" t="str">
        <f>A70</f>
        <v>Neg b</v>
      </c>
      <c r="R50" s="64" t="str">
        <f>B70</f>
        <v>na</v>
      </c>
      <c r="S50" s="65"/>
      <c r="T50" s="66">
        <f>E70</f>
        <v>0</v>
      </c>
      <c r="U50" s="66">
        <f t="shared" si="12"/>
        <v>43.486193827828913</v>
      </c>
      <c r="V50" s="67">
        <f>$L$13</f>
        <v>256.51380617217109</v>
      </c>
      <c r="W50" s="62"/>
      <c r="X50" s="63">
        <f>12</f>
        <v>12</v>
      </c>
      <c r="Y50" s="64">
        <f>60</f>
        <v>60</v>
      </c>
    </row>
    <row r="51" spans="1:25">
      <c r="A51" s="16" t="s">
        <v>152</v>
      </c>
      <c r="B51" s="18" t="s">
        <v>198</v>
      </c>
      <c r="C51" s="104">
        <v>106.28244873566653</v>
      </c>
      <c r="D51" s="17"/>
      <c r="E51" s="29">
        <f t="shared" si="0"/>
        <v>28.226673695308381</v>
      </c>
      <c r="F51" s="32">
        <f t="shared" si="1"/>
        <v>247.77332630469164</v>
      </c>
      <c r="G51" s="17">
        <f t="shared" si="2"/>
        <v>12</v>
      </c>
      <c r="H51" s="18">
        <f t="shared" si="3"/>
        <v>12</v>
      </c>
      <c r="K51" s="8"/>
      <c r="Q51" s="10" t="s">
        <v>215</v>
      </c>
      <c r="R51" s="12" t="s">
        <v>106</v>
      </c>
      <c r="S51" s="11"/>
      <c r="T51" s="11" t="s">
        <v>177</v>
      </c>
      <c r="U51" s="24" t="s">
        <v>216</v>
      </c>
      <c r="V51" s="25" t="s">
        <v>217</v>
      </c>
      <c r="W51" s="8"/>
      <c r="X51" s="10" t="s">
        <v>228</v>
      </c>
      <c r="Y51" s="12" t="s">
        <v>219</v>
      </c>
    </row>
    <row r="52" spans="1:25">
      <c r="A52" s="16" t="s">
        <v>153</v>
      </c>
      <c r="B52" s="18" t="s">
        <v>198</v>
      </c>
      <c r="C52" s="104">
        <v>106.28244873566653</v>
      </c>
      <c r="D52" s="17"/>
      <c r="E52" s="29">
        <f t="shared" si="0"/>
        <v>28.226673695308381</v>
      </c>
      <c r="F52" s="32">
        <f t="shared" si="1"/>
        <v>247.77332630469164</v>
      </c>
      <c r="G52" s="17">
        <f t="shared" si="2"/>
        <v>12</v>
      </c>
      <c r="H52" s="18">
        <f t="shared" si="3"/>
        <v>12</v>
      </c>
      <c r="K52" s="8"/>
      <c r="Q52" s="73" t="str">
        <f t="shared" ref="Q52:Q72" si="13">A48</f>
        <v>15a</v>
      </c>
      <c r="R52" s="74" t="str">
        <f t="shared" ref="R52:R72" si="14">B48</f>
        <v>V99A</v>
      </c>
      <c r="S52" s="75"/>
      <c r="T52" s="76">
        <f t="shared" ref="T52:T72" si="15">E48</f>
        <v>34.883387622149833</v>
      </c>
      <c r="U52" s="76">
        <f>$H$3-T52-V52</f>
        <v>8.6028062056790873</v>
      </c>
      <c r="V52" s="77">
        <f t="shared" si="8"/>
        <v>256.51380617217109</v>
      </c>
      <c r="W52" s="78"/>
      <c r="X52" s="73">
        <f>12</f>
        <v>12</v>
      </c>
      <c r="Y52" s="74">
        <f>60</f>
        <v>60</v>
      </c>
    </row>
    <row r="53" spans="1:25">
      <c r="A53" s="16" t="s">
        <v>154</v>
      </c>
      <c r="B53" s="18" t="s">
        <v>198</v>
      </c>
      <c r="C53" s="104">
        <v>106.28244873566653</v>
      </c>
      <c r="D53" s="17"/>
      <c r="E53" s="29">
        <f t="shared" si="0"/>
        <v>28.226673695308381</v>
      </c>
      <c r="F53" s="32">
        <f t="shared" si="1"/>
        <v>247.77332630469164</v>
      </c>
      <c r="G53" s="17">
        <f t="shared" si="2"/>
        <v>12</v>
      </c>
      <c r="H53" s="18">
        <f t="shared" si="3"/>
        <v>12</v>
      </c>
      <c r="J53" s="8"/>
      <c r="K53" s="8"/>
      <c r="L53" s="8"/>
      <c r="M53" s="8"/>
      <c r="N53" s="8"/>
      <c r="O53" s="8"/>
      <c r="Q53" s="73" t="str">
        <f t="shared" si="13"/>
        <v>15b</v>
      </c>
      <c r="R53" s="74" t="str">
        <f t="shared" si="14"/>
        <v>V99A</v>
      </c>
      <c r="S53" s="75"/>
      <c r="T53" s="76">
        <f t="shared" si="15"/>
        <v>34.883387622149833</v>
      </c>
      <c r="U53" s="76">
        <f t="shared" ref="U52:U72" si="16">$H$3-T53-V53</f>
        <v>8.6028062056790873</v>
      </c>
      <c r="V53" s="77">
        <f t="shared" si="8"/>
        <v>256.51380617217109</v>
      </c>
      <c r="W53" s="78"/>
      <c r="X53" s="73">
        <f>12</f>
        <v>12</v>
      </c>
      <c r="Y53" s="74">
        <f>60</f>
        <v>60</v>
      </c>
    </row>
    <row r="54" spans="1:25">
      <c r="A54" s="16" t="s">
        <v>155</v>
      </c>
      <c r="B54" s="18" t="s">
        <v>199</v>
      </c>
      <c r="C54" s="104">
        <v>110.76457625219437</v>
      </c>
      <c r="D54" s="17"/>
      <c r="E54" s="29">
        <f t="shared" si="0"/>
        <v>27.084471421345473</v>
      </c>
      <c r="F54" s="32">
        <f t="shared" si="1"/>
        <v>248.91552857865452</v>
      </c>
      <c r="G54" s="17">
        <f t="shared" si="2"/>
        <v>12</v>
      </c>
      <c r="H54" s="18">
        <f t="shared" si="3"/>
        <v>12</v>
      </c>
      <c r="J54" s="35" t="s">
        <v>206</v>
      </c>
      <c r="K54" s="35"/>
      <c r="L54" s="35" t="s">
        <v>207</v>
      </c>
      <c r="M54" s="35"/>
      <c r="N54" s="35">
        <v>5371.0689225771521</v>
      </c>
      <c r="O54" s="8"/>
      <c r="Q54" s="73" t="str">
        <f t="shared" si="13"/>
        <v>15c</v>
      </c>
      <c r="R54" s="74" t="str">
        <f t="shared" si="14"/>
        <v>V99A</v>
      </c>
      <c r="S54" s="75"/>
      <c r="T54" s="76">
        <f t="shared" si="15"/>
        <v>34.883387622149833</v>
      </c>
      <c r="U54" s="76">
        <f t="shared" si="16"/>
        <v>8.6028062056790873</v>
      </c>
      <c r="V54" s="77">
        <f t="shared" si="8"/>
        <v>256.51380617217109</v>
      </c>
      <c r="W54" s="78"/>
      <c r="X54" s="73">
        <f>12</f>
        <v>12</v>
      </c>
      <c r="Y54" s="74">
        <f>60</f>
        <v>60</v>
      </c>
    </row>
    <row r="55" spans="1:25">
      <c r="A55" s="16" t="s">
        <v>156</v>
      </c>
      <c r="B55" s="18" t="s">
        <v>199</v>
      </c>
      <c r="C55" s="104">
        <v>110.76457625219437</v>
      </c>
      <c r="D55" s="17"/>
      <c r="E55" s="29">
        <f t="shared" si="0"/>
        <v>27.084471421345473</v>
      </c>
      <c r="F55" s="32">
        <f t="shared" si="1"/>
        <v>248.91552857865452</v>
      </c>
      <c r="G55" s="17">
        <f t="shared" si="2"/>
        <v>12</v>
      </c>
      <c r="H55" s="18">
        <f t="shared" si="3"/>
        <v>12</v>
      </c>
      <c r="J55" s="35" t="s">
        <v>210</v>
      </c>
      <c r="K55" s="35"/>
      <c r="L55" s="35" t="s">
        <v>208</v>
      </c>
      <c r="M55" s="35"/>
      <c r="N55" s="35">
        <v>277.2</v>
      </c>
      <c r="O55" s="8"/>
      <c r="Q55" s="73" t="str">
        <f t="shared" si="13"/>
        <v>16a</v>
      </c>
      <c r="R55" s="74" t="str">
        <f t="shared" si="14"/>
        <v>I16A</v>
      </c>
      <c r="S55" s="75"/>
      <c r="T55" s="76">
        <f t="shared" si="15"/>
        <v>28.226673695308381</v>
      </c>
      <c r="U55" s="76">
        <f t="shared" si="16"/>
        <v>15.259520132520549</v>
      </c>
      <c r="V55" s="77">
        <f t="shared" si="8"/>
        <v>256.51380617217109</v>
      </c>
      <c r="W55" s="78"/>
      <c r="X55" s="73">
        <f>12</f>
        <v>12</v>
      </c>
      <c r="Y55" s="74">
        <f>60</f>
        <v>60</v>
      </c>
    </row>
    <row r="56" spans="1:25">
      <c r="A56" s="16" t="s">
        <v>157</v>
      </c>
      <c r="B56" s="18" t="s">
        <v>199</v>
      </c>
      <c r="C56" s="104">
        <v>110.76457625219437</v>
      </c>
      <c r="D56" s="17"/>
      <c r="E56" s="29">
        <f t="shared" si="0"/>
        <v>27.084471421345473</v>
      </c>
      <c r="F56" s="32">
        <f t="shared" si="1"/>
        <v>248.91552857865452</v>
      </c>
      <c r="G56" s="17">
        <f t="shared" si="2"/>
        <v>12</v>
      </c>
      <c r="H56" s="18">
        <f t="shared" si="3"/>
        <v>12</v>
      </c>
      <c r="J56" s="35"/>
      <c r="K56" s="35"/>
      <c r="L56" s="35" t="s">
        <v>209</v>
      </c>
      <c r="M56" s="35"/>
      <c r="N56" s="35">
        <v>277.2</v>
      </c>
      <c r="O56" s="8"/>
      <c r="Q56" s="73" t="str">
        <f t="shared" si="13"/>
        <v>16b</v>
      </c>
      <c r="R56" s="74" t="str">
        <f t="shared" si="14"/>
        <v>I16A</v>
      </c>
      <c r="S56" s="75"/>
      <c r="T56" s="76">
        <f t="shared" si="15"/>
        <v>28.226673695308381</v>
      </c>
      <c r="U56" s="76">
        <f t="shared" si="16"/>
        <v>15.259520132520549</v>
      </c>
      <c r="V56" s="77">
        <f t="shared" si="8"/>
        <v>256.51380617217109</v>
      </c>
      <c r="W56" s="78"/>
      <c r="X56" s="73">
        <f>12</f>
        <v>12</v>
      </c>
      <c r="Y56" s="74">
        <f>60</f>
        <v>60</v>
      </c>
    </row>
    <row r="57" spans="1:25">
      <c r="A57" s="16" t="s">
        <v>158</v>
      </c>
      <c r="B57" s="18" t="s">
        <v>200</v>
      </c>
      <c r="C57" s="104">
        <v>72.124901953460579</v>
      </c>
      <c r="D57" s="17"/>
      <c r="E57" s="29">
        <f t="shared" si="0"/>
        <v>41.594510616260997</v>
      </c>
      <c r="F57" s="32">
        <f t="shared" si="1"/>
        <v>234.405489383739</v>
      </c>
      <c r="G57" s="17">
        <f t="shared" si="2"/>
        <v>12</v>
      </c>
      <c r="H57" s="18">
        <f t="shared" si="3"/>
        <v>12</v>
      </c>
      <c r="J57" s="35"/>
      <c r="K57" s="35"/>
      <c r="L57" s="35" t="s">
        <v>212</v>
      </c>
      <c r="M57" s="35"/>
      <c r="N57" s="35">
        <v>5925.4689225771517</v>
      </c>
      <c r="O57" s="8"/>
      <c r="Q57" s="73" t="str">
        <f t="shared" si="13"/>
        <v>16c</v>
      </c>
      <c r="R57" s="74" t="str">
        <f t="shared" si="14"/>
        <v>I16A</v>
      </c>
      <c r="S57" s="75"/>
      <c r="T57" s="76">
        <f t="shared" si="15"/>
        <v>28.226673695308381</v>
      </c>
      <c r="U57" s="76">
        <f t="shared" si="16"/>
        <v>15.259520132520549</v>
      </c>
      <c r="V57" s="77">
        <f t="shared" si="8"/>
        <v>256.51380617217109</v>
      </c>
      <c r="W57" s="78"/>
      <c r="X57" s="73">
        <f>12</f>
        <v>12</v>
      </c>
      <c r="Y57" s="74">
        <f>60</f>
        <v>60</v>
      </c>
    </row>
    <row r="58" spans="1:25">
      <c r="A58" s="16" t="s">
        <v>159</v>
      </c>
      <c r="B58" s="18" t="s">
        <v>200</v>
      </c>
      <c r="C58" s="104">
        <v>72.124901953460579</v>
      </c>
      <c r="D58" s="17"/>
      <c r="E58" s="29">
        <f t="shared" si="0"/>
        <v>41.594510616260997</v>
      </c>
      <c r="F58" s="32">
        <f t="shared" si="1"/>
        <v>234.405489383739</v>
      </c>
      <c r="G58" s="17">
        <f t="shared" si="2"/>
        <v>12</v>
      </c>
      <c r="H58" s="18">
        <f t="shared" si="3"/>
        <v>12</v>
      </c>
      <c r="J58" s="8"/>
      <c r="K58" s="8"/>
      <c r="L58" s="8"/>
      <c r="M58" s="8"/>
      <c r="N58" s="8"/>
      <c r="O58" s="8"/>
      <c r="Q58" s="73" t="str">
        <f t="shared" si="13"/>
        <v>17a</v>
      </c>
      <c r="R58" s="74" t="str">
        <f t="shared" si="14"/>
        <v>N14A</v>
      </c>
      <c r="S58" s="75"/>
      <c r="T58" s="76">
        <f t="shared" si="15"/>
        <v>27.084471421345473</v>
      </c>
      <c r="U58" s="76">
        <f t="shared" si="16"/>
        <v>16.401722406483429</v>
      </c>
      <c r="V58" s="77">
        <f t="shared" si="8"/>
        <v>256.51380617217109</v>
      </c>
      <c r="W58" s="78"/>
      <c r="X58" s="73">
        <f>12</f>
        <v>12</v>
      </c>
      <c r="Y58" s="74">
        <f>60</f>
        <v>60</v>
      </c>
    </row>
    <row r="59" spans="1:25">
      <c r="A59" s="16" t="s">
        <v>160</v>
      </c>
      <c r="B59" s="18" t="s">
        <v>200</v>
      </c>
      <c r="C59" s="104">
        <v>72.124901953460579</v>
      </c>
      <c r="D59" s="17"/>
      <c r="E59" s="29">
        <f t="shared" si="0"/>
        <v>41.594510616260997</v>
      </c>
      <c r="F59" s="32">
        <f t="shared" si="1"/>
        <v>234.405489383739</v>
      </c>
      <c r="G59" s="17">
        <f t="shared" si="2"/>
        <v>12</v>
      </c>
      <c r="H59" s="18">
        <f t="shared" si="3"/>
        <v>12</v>
      </c>
      <c r="J59" s="8" t="s">
        <v>213</v>
      </c>
      <c r="K59" s="8"/>
      <c r="L59" s="8">
        <v>256.51380617217109</v>
      </c>
      <c r="M59" s="8"/>
      <c r="N59" s="8"/>
      <c r="O59" s="8"/>
      <c r="Q59" s="73" t="str">
        <f t="shared" si="13"/>
        <v>17b</v>
      </c>
      <c r="R59" s="74" t="str">
        <f t="shared" si="14"/>
        <v>N14A</v>
      </c>
      <c r="S59" s="75"/>
      <c r="T59" s="76">
        <f t="shared" si="15"/>
        <v>27.084471421345473</v>
      </c>
      <c r="U59" s="76">
        <f t="shared" si="16"/>
        <v>16.401722406483429</v>
      </c>
      <c r="V59" s="77">
        <f t="shared" si="8"/>
        <v>256.51380617217109</v>
      </c>
      <c r="W59" s="78"/>
      <c r="X59" s="73">
        <f>12</f>
        <v>12</v>
      </c>
      <c r="Y59" s="74">
        <f>60</f>
        <v>60</v>
      </c>
    </row>
    <row r="60" spans="1:25">
      <c r="A60" s="16" t="s">
        <v>161</v>
      </c>
      <c r="B60" s="18" t="s">
        <v>201</v>
      </c>
      <c r="C60" s="104">
        <v>118.30949090501625</v>
      </c>
      <c r="D60" s="17"/>
      <c r="E60" s="29">
        <f t="shared" si="0"/>
        <v>25.357221783741121</v>
      </c>
      <c r="F60" s="32">
        <f t="shared" si="1"/>
        <v>250.64277821625888</v>
      </c>
      <c r="G60" s="17">
        <f t="shared" si="2"/>
        <v>12</v>
      </c>
      <c r="H60" s="18">
        <f t="shared" si="3"/>
        <v>12</v>
      </c>
      <c r="J60" s="8"/>
      <c r="K60" s="8"/>
      <c r="L60" s="8"/>
      <c r="M60" s="8"/>
      <c r="N60" s="8"/>
      <c r="O60" s="8"/>
      <c r="Q60" s="73" t="str">
        <f t="shared" si="13"/>
        <v>17c</v>
      </c>
      <c r="R60" s="74" t="str">
        <f t="shared" si="14"/>
        <v>N14A</v>
      </c>
      <c r="S60" s="75"/>
      <c r="T60" s="76">
        <f t="shared" si="15"/>
        <v>27.084471421345473</v>
      </c>
      <c r="U60" s="76">
        <f t="shared" si="16"/>
        <v>16.401722406483429</v>
      </c>
      <c r="V60" s="77">
        <f t="shared" si="8"/>
        <v>256.51380617217109</v>
      </c>
      <c r="W60" s="78"/>
      <c r="X60" s="73">
        <f>12</f>
        <v>12</v>
      </c>
      <c r="Y60" s="74">
        <f>60</f>
        <v>60</v>
      </c>
    </row>
    <row r="61" spans="1:25">
      <c r="A61" s="16" t="s">
        <v>162</v>
      </c>
      <c r="B61" s="18" t="s">
        <v>201</v>
      </c>
      <c r="C61" s="104">
        <v>118.30949090501625</v>
      </c>
      <c r="D61" s="17"/>
      <c r="E61" s="29">
        <f t="shared" si="0"/>
        <v>25.357221783741121</v>
      </c>
      <c r="F61" s="32">
        <f t="shared" si="1"/>
        <v>250.64277821625888</v>
      </c>
      <c r="G61" s="17">
        <f t="shared" si="2"/>
        <v>12</v>
      </c>
      <c r="H61" s="18">
        <f t="shared" si="3"/>
        <v>12</v>
      </c>
      <c r="J61" s="8" t="s">
        <v>299</v>
      </c>
      <c r="K61" s="8"/>
      <c r="L61" s="8">
        <v>29.999639999999999</v>
      </c>
      <c r="M61" s="8" t="s">
        <v>226</v>
      </c>
      <c r="N61" s="8">
        <v>1499.982</v>
      </c>
      <c r="O61" s="8" t="s">
        <v>227</v>
      </c>
      <c r="Q61" s="73" t="str">
        <f t="shared" si="13"/>
        <v>18a</v>
      </c>
      <c r="R61" s="74" t="str">
        <f t="shared" si="14"/>
        <v>L9A</v>
      </c>
      <c r="S61" s="75"/>
      <c r="T61" s="76">
        <f t="shared" si="15"/>
        <v>41.594510616260997</v>
      </c>
      <c r="U61" s="76">
        <f t="shared" si="16"/>
        <v>1.8916832115679085</v>
      </c>
      <c r="V61" s="77">
        <f t="shared" si="8"/>
        <v>256.51380617217109</v>
      </c>
      <c r="W61" s="78"/>
      <c r="X61" s="73">
        <f>12</f>
        <v>12</v>
      </c>
      <c r="Y61" s="74">
        <f>60</f>
        <v>60</v>
      </c>
    </row>
    <row r="62" spans="1:25">
      <c r="A62" s="16" t="s">
        <v>163</v>
      </c>
      <c r="B62" s="18" t="s">
        <v>201</v>
      </c>
      <c r="C62" s="104">
        <v>118.30949090501625</v>
      </c>
      <c r="D62" s="17"/>
      <c r="E62" s="29">
        <f t="shared" si="0"/>
        <v>25.357221783741121</v>
      </c>
      <c r="F62" s="32">
        <f t="shared" si="1"/>
        <v>250.64277821625888</v>
      </c>
      <c r="G62" s="17">
        <f t="shared" si="2"/>
        <v>12</v>
      </c>
      <c r="H62" s="18">
        <f t="shared" si="3"/>
        <v>12</v>
      </c>
      <c r="K62" s="8"/>
      <c r="Q62" s="73" t="str">
        <f t="shared" si="13"/>
        <v>18b</v>
      </c>
      <c r="R62" s="74" t="str">
        <f t="shared" si="14"/>
        <v>L9A</v>
      </c>
      <c r="S62" s="75"/>
      <c r="T62" s="76">
        <f t="shared" si="15"/>
        <v>41.594510616260997</v>
      </c>
      <c r="U62" s="76">
        <f t="shared" si="16"/>
        <v>1.8916832115679085</v>
      </c>
      <c r="V62" s="77">
        <f t="shared" si="8"/>
        <v>256.51380617217109</v>
      </c>
      <c r="W62" s="78"/>
      <c r="X62" s="73">
        <f>12</f>
        <v>12</v>
      </c>
      <c r="Y62" s="74">
        <f>60</f>
        <v>60</v>
      </c>
    </row>
    <row r="63" spans="1:25">
      <c r="A63" s="16" t="s">
        <v>164</v>
      </c>
      <c r="B63" s="18" t="s">
        <v>202</v>
      </c>
      <c r="C63" s="104">
        <v>108.72894333843799</v>
      </c>
      <c r="D63" s="17"/>
      <c r="E63" s="29">
        <f t="shared" si="0"/>
        <v>27.591549295774648</v>
      </c>
      <c r="F63" s="32">
        <f t="shared" si="1"/>
        <v>248.40845070422534</v>
      </c>
      <c r="G63" s="17">
        <f t="shared" si="2"/>
        <v>12</v>
      </c>
      <c r="H63" s="18">
        <f t="shared" si="3"/>
        <v>12</v>
      </c>
      <c r="Q63" s="73" t="str">
        <f t="shared" si="13"/>
        <v>18c</v>
      </c>
      <c r="R63" s="74" t="str">
        <f t="shared" si="14"/>
        <v>L9A</v>
      </c>
      <c r="S63" s="75"/>
      <c r="T63" s="76">
        <f t="shared" si="15"/>
        <v>41.594510616260997</v>
      </c>
      <c r="U63" s="76">
        <f t="shared" si="16"/>
        <v>1.8916832115679085</v>
      </c>
      <c r="V63" s="77">
        <f t="shared" si="8"/>
        <v>256.51380617217109</v>
      </c>
      <c r="W63" s="78"/>
      <c r="X63" s="73">
        <f>12</f>
        <v>12</v>
      </c>
      <c r="Y63" s="74">
        <f>60</f>
        <v>60</v>
      </c>
    </row>
    <row r="64" spans="1:25">
      <c r="A64" s="16" t="s">
        <v>165</v>
      </c>
      <c r="B64" s="18" t="s">
        <v>202</v>
      </c>
      <c r="C64" s="104">
        <v>108.72894333843799</v>
      </c>
      <c r="D64" s="17"/>
      <c r="E64" s="29">
        <f t="shared" si="0"/>
        <v>27.591549295774648</v>
      </c>
      <c r="F64" s="32">
        <f t="shared" si="1"/>
        <v>248.40845070422534</v>
      </c>
      <c r="G64" s="17">
        <f t="shared" si="2"/>
        <v>12</v>
      </c>
      <c r="H64" s="18">
        <f t="shared" si="3"/>
        <v>12</v>
      </c>
      <c r="Q64" s="73" t="str">
        <f t="shared" si="13"/>
        <v>19a</v>
      </c>
      <c r="R64" s="74" t="str">
        <f t="shared" si="14"/>
        <v>R10A</v>
      </c>
      <c r="S64" s="75"/>
      <c r="T64" s="76">
        <f t="shared" si="15"/>
        <v>25.357221783741121</v>
      </c>
      <c r="U64" s="76">
        <f t="shared" si="16"/>
        <v>18.128972044087789</v>
      </c>
      <c r="V64" s="77">
        <f t="shared" si="8"/>
        <v>256.51380617217109</v>
      </c>
      <c r="W64" s="78"/>
      <c r="X64" s="73">
        <f>12</f>
        <v>12</v>
      </c>
      <c r="Y64" s="74">
        <f>60</f>
        <v>60</v>
      </c>
    </row>
    <row r="65" spans="1:25">
      <c r="A65" s="16" t="s">
        <v>166</v>
      </c>
      <c r="B65" s="18" t="s">
        <v>202</v>
      </c>
      <c r="C65" s="104">
        <v>108.72894333843799</v>
      </c>
      <c r="D65" s="17"/>
      <c r="E65" s="29">
        <f t="shared" si="0"/>
        <v>27.591549295774648</v>
      </c>
      <c r="F65" s="32">
        <f t="shared" si="1"/>
        <v>248.40845070422534</v>
      </c>
      <c r="G65" s="17">
        <f t="shared" si="2"/>
        <v>12</v>
      </c>
      <c r="H65" s="18">
        <f t="shared" si="3"/>
        <v>12</v>
      </c>
      <c r="Q65" s="73" t="str">
        <f t="shared" si="13"/>
        <v>19b</v>
      </c>
      <c r="R65" s="74" t="str">
        <f t="shared" si="14"/>
        <v>R10A</v>
      </c>
      <c r="S65" s="75"/>
      <c r="T65" s="76">
        <f t="shared" si="15"/>
        <v>25.357221783741121</v>
      </c>
      <c r="U65" s="76">
        <f t="shared" si="16"/>
        <v>18.128972044087789</v>
      </c>
      <c r="V65" s="77">
        <f t="shared" si="8"/>
        <v>256.51380617217109</v>
      </c>
      <c r="W65" s="78"/>
      <c r="X65" s="73">
        <f>12</f>
        <v>12</v>
      </c>
      <c r="Y65" s="74">
        <f>60</f>
        <v>60</v>
      </c>
    </row>
    <row r="66" spans="1:25">
      <c r="A66" s="16" t="s">
        <v>167</v>
      </c>
      <c r="B66" s="18" t="s">
        <v>203</v>
      </c>
      <c r="C66" s="104">
        <v>97.000709670190119</v>
      </c>
      <c r="D66" s="17"/>
      <c r="E66" s="29">
        <f t="shared" si="0"/>
        <v>30.927608779360803</v>
      </c>
      <c r="F66" s="32">
        <f t="shared" si="1"/>
        <v>245.07239122063919</v>
      </c>
      <c r="G66" s="17">
        <f t="shared" si="2"/>
        <v>12</v>
      </c>
      <c r="H66" s="18">
        <f t="shared" si="3"/>
        <v>12</v>
      </c>
      <c r="Q66" s="73" t="str">
        <f t="shared" si="13"/>
        <v>19c</v>
      </c>
      <c r="R66" s="74" t="str">
        <f t="shared" si="14"/>
        <v>R10A</v>
      </c>
      <c r="S66" s="75"/>
      <c r="T66" s="76">
        <f t="shared" si="15"/>
        <v>25.357221783741121</v>
      </c>
      <c r="U66" s="76">
        <f t="shared" si="16"/>
        <v>18.128972044087789</v>
      </c>
      <c r="V66" s="77">
        <f t="shared" si="8"/>
        <v>256.51380617217109</v>
      </c>
      <c r="W66" s="78"/>
      <c r="X66" s="73">
        <f>12</f>
        <v>12</v>
      </c>
      <c r="Y66" s="74">
        <f>60</f>
        <v>60</v>
      </c>
    </row>
    <row r="67" spans="1:25">
      <c r="A67" s="16" t="s">
        <v>168</v>
      </c>
      <c r="B67" s="18" t="s">
        <v>203</v>
      </c>
      <c r="C67" s="104">
        <v>97.000709670190119</v>
      </c>
      <c r="D67" s="17"/>
      <c r="E67" s="29">
        <f t="shared" si="0"/>
        <v>30.927608779360803</v>
      </c>
      <c r="F67" s="32">
        <f t="shared" si="1"/>
        <v>245.07239122063919</v>
      </c>
      <c r="G67" s="17">
        <f t="shared" si="2"/>
        <v>12</v>
      </c>
      <c r="H67" s="18">
        <f t="shared" si="3"/>
        <v>12</v>
      </c>
      <c r="Q67" s="73" t="str">
        <f t="shared" si="13"/>
        <v>20a</v>
      </c>
      <c r="R67" s="74" t="str">
        <f t="shared" si="14"/>
        <v>K101A</v>
      </c>
      <c r="S67" s="75"/>
      <c r="T67" s="76">
        <f t="shared" si="15"/>
        <v>27.591549295774648</v>
      </c>
      <c r="U67" s="76">
        <f t="shared" si="16"/>
        <v>15.894644532054258</v>
      </c>
      <c r="V67" s="77">
        <f t="shared" si="8"/>
        <v>256.51380617217109</v>
      </c>
      <c r="W67" s="78"/>
      <c r="X67" s="73">
        <f>12</f>
        <v>12</v>
      </c>
      <c r="Y67" s="74">
        <f>60</f>
        <v>60</v>
      </c>
    </row>
    <row r="68" spans="1:25">
      <c r="A68" s="16" t="s">
        <v>169</v>
      </c>
      <c r="B68" s="18" t="s">
        <v>203</v>
      </c>
      <c r="C68" s="104">
        <v>97.000709670190119</v>
      </c>
      <c r="D68" s="17"/>
      <c r="E68" s="29">
        <f t="shared" si="0"/>
        <v>30.927608779360803</v>
      </c>
      <c r="F68" s="32">
        <f t="shared" si="1"/>
        <v>245.07239122063919</v>
      </c>
      <c r="G68" s="17">
        <f t="shared" si="2"/>
        <v>12</v>
      </c>
      <c r="H68" s="18">
        <f t="shared" si="3"/>
        <v>12</v>
      </c>
      <c r="Q68" s="73" t="str">
        <f t="shared" si="13"/>
        <v>20b</v>
      </c>
      <c r="R68" s="74" t="str">
        <f t="shared" si="14"/>
        <v>K101A</v>
      </c>
      <c r="S68" s="75"/>
      <c r="T68" s="76">
        <f t="shared" si="15"/>
        <v>27.591549295774648</v>
      </c>
      <c r="U68" s="76">
        <f t="shared" si="16"/>
        <v>15.894644532054258</v>
      </c>
      <c r="V68" s="77">
        <f t="shared" si="8"/>
        <v>256.51380617217109</v>
      </c>
      <c r="W68" s="78"/>
      <c r="X68" s="73">
        <f>12</f>
        <v>12</v>
      </c>
      <c r="Y68" s="74">
        <f>60</f>
        <v>60</v>
      </c>
    </row>
    <row r="69" spans="1:25">
      <c r="A69" s="16" t="s">
        <v>170</v>
      </c>
      <c r="B69" s="18" t="s">
        <v>183</v>
      </c>
      <c r="C69" s="29" t="s">
        <v>183</v>
      </c>
      <c r="D69" s="17"/>
      <c r="E69" s="29">
        <v>0</v>
      </c>
      <c r="F69" s="32">
        <f t="shared" si="1"/>
        <v>276</v>
      </c>
      <c r="G69" s="17">
        <f t="shared" si="2"/>
        <v>12</v>
      </c>
      <c r="H69" s="18">
        <f t="shared" si="3"/>
        <v>12</v>
      </c>
      <c r="Q69" s="73" t="str">
        <f t="shared" si="13"/>
        <v>20c</v>
      </c>
      <c r="R69" s="74" t="str">
        <f t="shared" si="14"/>
        <v>K101A</v>
      </c>
      <c r="S69" s="75"/>
      <c r="T69" s="76">
        <f t="shared" si="15"/>
        <v>27.591549295774648</v>
      </c>
      <c r="U69" s="76">
        <f t="shared" si="16"/>
        <v>15.894644532054258</v>
      </c>
      <c r="V69" s="77">
        <f t="shared" si="8"/>
        <v>256.51380617217109</v>
      </c>
      <c r="W69" s="78"/>
      <c r="X69" s="73">
        <f>12</f>
        <v>12</v>
      </c>
      <c r="Y69" s="74">
        <f>60</f>
        <v>60</v>
      </c>
    </row>
    <row r="70" spans="1:25">
      <c r="A70" s="16" t="s">
        <v>171</v>
      </c>
      <c r="B70" s="18" t="s">
        <v>183</v>
      </c>
      <c r="C70" s="29" t="s">
        <v>183</v>
      </c>
      <c r="D70" s="17"/>
      <c r="E70" s="29">
        <v>0</v>
      </c>
      <c r="F70" s="32">
        <f t="shared" si="1"/>
        <v>276</v>
      </c>
      <c r="G70" s="17">
        <f t="shared" si="2"/>
        <v>12</v>
      </c>
      <c r="H70" s="18">
        <f t="shared" si="3"/>
        <v>12</v>
      </c>
      <c r="Q70" s="73" t="str">
        <f t="shared" si="13"/>
        <v>21a</v>
      </c>
      <c r="R70" s="74" t="str">
        <f t="shared" si="14"/>
        <v>E104A</v>
      </c>
      <c r="S70" s="75"/>
      <c r="T70" s="76">
        <f t="shared" si="15"/>
        <v>30.927608779360803</v>
      </c>
      <c r="U70" s="76">
        <f t="shared" si="16"/>
        <v>12.558585048468103</v>
      </c>
      <c r="V70" s="77">
        <f t="shared" si="8"/>
        <v>256.51380617217109</v>
      </c>
      <c r="W70" s="78"/>
      <c r="X70" s="73">
        <f>12</f>
        <v>12</v>
      </c>
      <c r="Y70" s="74">
        <f>60</f>
        <v>60</v>
      </c>
    </row>
    <row r="71" spans="1:25">
      <c r="A71" s="19" t="s">
        <v>172</v>
      </c>
      <c r="B71" s="21" t="s">
        <v>183</v>
      </c>
      <c r="C71" s="30" t="s">
        <v>183</v>
      </c>
      <c r="D71" s="20"/>
      <c r="E71" s="30">
        <v>0</v>
      </c>
      <c r="F71" s="33">
        <f t="shared" ref="F71" si="17">$H$3-E71-G71-H71</f>
        <v>276</v>
      </c>
      <c r="G71" s="20">
        <f t="shared" ref="G71" si="18">$F$2/$D$2*$H$3</f>
        <v>12</v>
      </c>
      <c r="H71" s="21">
        <f t="shared" ref="H71" si="19">$F$3/$D$3*$H$3</f>
        <v>12</v>
      </c>
      <c r="Q71" s="73" t="str">
        <f t="shared" si="13"/>
        <v>21b</v>
      </c>
      <c r="R71" s="74" t="str">
        <f t="shared" si="14"/>
        <v>E104A</v>
      </c>
      <c r="S71" s="75"/>
      <c r="T71" s="76">
        <f t="shared" si="15"/>
        <v>30.927608779360803</v>
      </c>
      <c r="U71" s="76">
        <f t="shared" si="16"/>
        <v>12.558585048468103</v>
      </c>
      <c r="V71" s="77">
        <f>$L$13</f>
        <v>256.51380617217109</v>
      </c>
      <c r="W71" s="78"/>
      <c r="X71" s="73">
        <f>12</f>
        <v>12</v>
      </c>
      <c r="Y71" s="74">
        <f>60</f>
        <v>60</v>
      </c>
    </row>
    <row r="72" spans="1:25">
      <c r="Q72" s="73" t="str">
        <f t="shared" si="13"/>
        <v>21c</v>
      </c>
      <c r="R72" s="74" t="str">
        <f t="shared" si="14"/>
        <v>E104A</v>
      </c>
      <c r="S72" s="75"/>
      <c r="T72" s="76">
        <f t="shared" si="15"/>
        <v>30.927608779360803</v>
      </c>
      <c r="U72" s="76">
        <f t="shared" si="16"/>
        <v>12.558585048468103</v>
      </c>
      <c r="V72" s="77">
        <f>$L$13</f>
        <v>256.51380617217109</v>
      </c>
      <c r="W72" s="78"/>
      <c r="X72" s="73">
        <f>12</f>
        <v>12</v>
      </c>
      <c r="Y72" s="74">
        <f>60</f>
        <v>60</v>
      </c>
    </row>
    <row r="73" spans="1:25">
      <c r="Q73" s="79" t="str">
        <f>A71</f>
        <v>Neg c</v>
      </c>
      <c r="R73" s="80" t="str">
        <f>B71</f>
        <v>na</v>
      </c>
      <c r="S73" s="81"/>
      <c r="T73" s="82">
        <f>E71</f>
        <v>0</v>
      </c>
      <c r="U73" s="82">
        <f t="shared" ref="U73" si="20">$H$3-T73-V73</f>
        <v>43.486193827828913</v>
      </c>
      <c r="V73" s="83">
        <f>$L$13</f>
        <v>256.51380617217109</v>
      </c>
      <c r="W73" s="78"/>
      <c r="X73" s="79">
        <f>12</f>
        <v>12</v>
      </c>
      <c r="Y73" s="80">
        <f>60</f>
        <v>60</v>
      </c>
    </row>
  </sheetData>
  <pageMargins left="0.25" right="0.25" top="0.75" bottom="0.75" header="0.3" footer="0.3"/>
  <pageSetup paperSize="9" scale="44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A468-1E55-4CEB-BEE5-E6B782A407E6}">
  <dimension ref="A1:F33"/>
  <sheetViews>
    <sheetView zoomScale="119" zoomScaleNormal="119" workbookViewId="0">
      <selection activeCell="D15" sqref="D15"/>
    </sheetView>
  </sheetViews>
  <sheetFormatPr defaultColWidth="8.85546875" defaultRowHeight="15"/>
  <cols>
    <col min="1" max="1" width="21.85546875" style="92" customWidth="1"/>
    <col min="2" max="2" width="24.140625" style="92" customWidth="1"/>
    <col min="3" max="3" width="10.5703125" style="92" customWidth="1"/>
    <col min="4" max="4" width="11.42578125" style="92" customWidth="1"/>
    <col min="5" max="16384" width="8.85546875" style="92"/>
  </cols>
  <sheetData>
    <row r="1" spans="1:6">
      <c r="B1" s="92" t="s">
        <v>291</v>
      </c>
      <c r="C1" s="92" t="s">
        <v>287</v>
      </c>
      <c r="D1" s="92" t="s">
        <v>288</v>
      </c>
      <c r="E1" s="92" t="s">
        <v>289</v>
      </c>
      <c r="F1" s="92" t="s">
        <v>290</v>
      </c>
    </row>
    <row r="5" spans="1:6">
      <c r="A5" s="92" t="s">
        <v>249</v>
      </c>
    </row>
    <row r="6" spans="1:6">
      <c r="A6" s="92" t="s">
        <v>250</v>
      </c>
    </row>
    <row r="7" spans="1:6">
      <c r="A7" s="92" t="s">
        <v>251</v>
      </c>
      <c r="B7" s="92">
        <v>74</v>
      </c>
    </row>
    <row r="8" spans="1:6">
      <c r="A8" s="92" t="s">
        <v>252</v>
      </c>
    </row>
    <row r="9" spans="1:6">
      <c r="A9" s="92" t="s">
        <v>253</v>
      </c>
      <c r="B9" s="92">
        <v>41.1</v>
      </c>
    </row>
    <row r="10" spans="1:6">
      <c r="A10" s="92" t="s">
        <v>254</v>
      </c>
    </row>
    <row r="11" spans="1:6">
      <c r="A11" s="92" t="s">
        <v>255</v>
      </c>
    </row>
    <row r="13" spans="1:6">
      <c r="A13" s="92" t="s">
        <v>256</v>
      </c>
      <c r="B13" s="92">
        <v>133.69999999999999</v>
      </c>
      <c r="C13" s="92">
        <v>2.6739999999999999</v>
      </c>
      <c r="D13" s="92">
        <v>1.5549999999999999</v>
      </c>
      <c r="E13" s="92">
        <v>1.72</v>
      </c>
      <c r="F13" s="92">
        <v>0.98</v>
      </c>
    </row>
    <row r="14" spans="1:6">
      <c r="A14" s="92" t="s">
        <v>257</v>
      </c>
      <c r="B14" s="92">
        <v>93.1</v>
      </c>
      <c r="C14" s="92">
        <v>1.8620000000000001</v>
      </c>
      <c r="D14" s="92">
        <v>1.0209999999999999</v>
      </c>
      <c r="E14" s="92">
        <v>1.82</v>
      </c>
      <c r="F14" s="92">
        <v>1.21</v>
      </c>
    </row>
    <row r="15" spans="1:6">
      <c r="A15" s="92" t="s">
        <v>258</v>
      </c>
      <c r="B15" s="92">
        <v>55.1</v>
      </c>
      <c r="C15" s="92">
        <v>1.103</v>
      </c>
      <c r="D15" s="92">
        <v>0.59799999999999998</v>
      </c>
      <c r="E15" s="92">
        <v>1.84</v>
      </c>
      <c r="F15" s="92">
        <v>1.77</v>
      </c>
    </row>
    <row r="16" spans="1:6">
      <c r="A16" s="92" t="s">
        <v>259</v>
      </c>
      <c r="B16" s="92">
        <v>46.6</v>
      </c>
      <c r="C16" s="92">
        <v>0.93100000000000005</v>
      </c>
      <c r="D16" s="92">
        <v>0.52400000000000002</v>
      </c>
      <c r="E16" s="92">
        <v>1.78</v>
      </c>
      <c r="F16" s="92">
        <v>1.77</v>
      </c>
    </row>
    <row r="17" spans="1:6">
      <c r="A17" s="92" t="s">
        <v>260</v>
      </c>
      <c r="B17" s="92">
        <v>70.400000000000006</v>
      </c>
      <c r="C17" s="92">
        <v>1.407</v>
      </c>
      <c r="D17" s="92">
        <v>0.74099999999999999</v>
      </c>
      <c r="E17" s="93">
        <v>1.9</v>
      </c>
      <c r="F17" s="92">
        <v>2.12</v>
      </c>
    </row>
    <row r="18" spans="1:6">
      <c r="A18" s="92" t="s">
        <v>261</v>
      </c>
      <c r="B18" s="92">
        <v>58.3</v>
      </c>
      <c r="C18" s="92">
        <v>1.1659999999999999</v>
      </c>
      <c r="D18" s="92">
        <v>0.58299999999999996</v>
      </c>
      <c r="E18" s="93">
        <v>2</v>
      </c>
      <c r="F18" s="92">
        <v>2.11</v>
      </c>
    </row>
    <row r="19" spans="1:6">
      <c r="A19" s="92" t="s">
        <v>262</v>
      </c>
      <c r="B19" s="92">
        <v>112.8</v>
      </c>
      <c r="C19" s="92">
        <v>2.2559999999999998</v>
      </c>
      <c r="D19" s="92">
        <v>1.3240000000000001</v>
      </c>
      <c r="E19" s="93">
        <v>1.7</v>
      </c>
      <c r="F19" s="92">
        <v>0.95</v>
      </c>
    </row>
    <row r="20" spans="1:6">
      <c r="A20" s="92" t="s">
        <v>263</v>
      </c>
      <c r="B20" s="92">
        <v>159.6</v>
      </c>
      <c r="C20" s="92">
        <v>3.1920000000000002</v>
      </c>
      <c r="D20" s="92">
        <v>1.696</v>
      </c>
      <c r="E20" s="92">
        <v>1.88</v>
      </c>
      <c r="F20" s="92">
        <v>1.96</v>
      </c>
    </row>
    <row r="21" spans="1:6">
      <c r="A21" s="92" t="s">
        <v>264</v>
      </c>
      <c r="B21" s="92">
        <v>108.8</v>
      </c>
      <c r="C21" s="92">
        <v>2.1760000000000002</v>
      </c>
      <c r="D21" s="92">
        <v>1.244</v>
      </c>
      <c r="E21" s="92">
        <v>1.75</v>
      </c>
      <c r="F21" s="92">
        <v>1.06</v>
      </c>
    </row>
    <row r="22" spans="1:6">
      <c r="A22" s="92" t="s">
        <v>265</v>
      </c>
      <c r="B22" s="92">
        <v>61.6</v>
      </c>
      <c r="C22" s="92">
        <v>1.2330000000000001</v>
      </c>
      <c r="D22" s="92">
        <v>0.64300000000000002</v>
      </c>
      <c r="E22" s="92">
        <v>1.92</v>
      </c>
      <c r="F22" s="92">
        <v>1.44</v>
      </c>
    </row>
    <row r="23" spans="1:6">
      <c r="A23" s="92" t="s">
        <v>266</v>
      </c>
      <c r="B23" s="92">
        <v>124.4</v>
      </c>
      <c r="C23" s="92">
        <v>2.488</v>
      </c>
      <c r="D23" s="92">
        <v>1.5209999999999999</v>
      </c>
      <c r="E23" s="92">
        <v>1.64</v>
      </c>
      <c r="F23" s="92">
        <v>0.77</v>
      </c>
    </row>
    <row r="24" spans="1:6">
      <c r="A24" s="92" t="s">
        <v>267</v>
      </c>
      <c r="B24" s="92">
        <v>52</v>
      </c>
      <c r="C24" s="92">
        <v>1040</v>
      </c>
      <c r="D24" s="92">
        <v>0.53100000000000003</v>
      </c>
      <c r="E24" s="92">
        <v>1.96</v>
      </c>
      <c r="F24" s="92">
        <v>2.0699999999999998</v>
      </c>
    </row>
    <row r="25" spans="1:6">
      <c r="A25" s="92" t="s">
        <v>268</v>
      </c>
      <c r="B25" s="92">
        <v>89.9</v>
      </c>
      <c r="C25" s="92">
        <v>1.798</v>
      </c>
      <c r="D25" s="92">
        <v>1.022</v>
      </c>
      <c r="E25" s="92">
        <v>1.76</v>
      </c>
      <c r="F25" s="92">
        <v>1.1599999999999999</v>
      </c>
    </row>
    <row r="26" spans="1:6">
      <c r="A26" s="92" t="s">
        <v>269</v>
      </c>
      <c r="B26" s="92">
        <v>91.8</v>
      </c>
      <c r="C26" s="92">
        <v>1.837</v>
      </c>
      <c r="D26" s="92">
        <v>1.0509999999999999</v>
      </c>
      <c r="E26" s="92">
        <v>1.75</v>
      </c>
      <c r="F26" s="92">
        <v>1.03</v>
      </c>
    </row>
    <row r="27" spans="1:6">
      <c r="A27" s="92" t="s">
        <v>270</v>
      </c>
      <c r="B27" s="92">
        <v>78.2</v>
      </c>
      <c r="C27" s="92">
        <v>1.5640000000000001</v>
      </c>
      <c r="D27" s="92">
        <v>0.80600000000000005</v>
      </c>
      <c r="E27" s="92">
        <v>1.94</v>
      </c>
      <c r="F27" s="92">
        <v>1.73</v>
      </c>
    </row>
    <row r="28" spans="1:6">
      <c r="A28" s="92" t="s">
        <v>271</v>
      </c>
      <c r="B28" s="92">
        <v>79.5</v>
      </c>
      <c r="C28" s="92">
        <v>1.59</v>
      </c>
      <c r="D28" s="92">
        <v>0.88600000000000001</v>
      </c>
      <c r="E28" s="92">
        <v>1.79</v>
      </c>
      <c r="F28" s="92">
        <v>1.23</v>
      </c>
    </row>
    <row r="29" spans="1:6">
      <c r="A29" s="92" t="s">
        <v>272</v>
      </c>
      <c r="B29" s="92">
        <v>84</v>
      </c>
      <c r="C29" s="92">
        <v>1.68</v>
      </c>
      <c r="D29" s="92">
        <v>0.96599999999999997</v>
      </c>
      <c r="E29" s="92">
        <v>1.74</v>
      </c>
      <c r="F29" s="92">
        <v>0.92</v>
      </c>
    </row>
    <row r="30" spans="1:6">
      <c r="A30" s="92" t="s">
        <v>273</v>
      </c>
      <c r="B30" s="92">
        <v>105.8</v>
      </c>
      <c r="C30" s="92">
        <v>2.1150000000000002</v>
      </c>
      <c r="D30" s="92">
        <v>1.173</v>
      </c>
      <c r="E30" s="92">
        <v>1.8</v>
      </c>
      <c r="F30" s="92">
        <v>1.1200000000000001</v>
      </c>
    </row>
    <row r="31" spans="1:6">
      <c r="A31" s="92" t="s">
        <v>274</v>
      </c>
      <c r="B31" s="92">
        <v>110.3</v>
      </c>
      <c r="C31" s="92">
        <v>2.206</v>
      </c>
      <c r="D31" s="92">
        <v>1.282</v>
      </c>
      <c r="E31" s="92">
        <v>1.72</v>
      </c>
      <c r="F31" s="92">
        <v>0.93</v>
      </c>
    </row>
    <row r="32" spans="1:6">
      <c r="A32" s="92" t="s">
        <v>275</v>
      </c>
      <c r="B32" s="92">
        <v>124.9</v>
      </c>
      <c r="C32" s="92">
        <v>2.4990000000000001</v>
      </c>
      <c r="D32" s="92">
        <v>1.4970000000000001</v>
      </c>
      <c r="E32" s="92">
        <v>1.67</v>
      </c>
      <c r="F32" s="92">
        <v>0.89</v>
      </c>
    </row>
    <row r="33" spans="1:6">
      <c r="A33" s="92" t="s">
        <v>276</v>
      </c>
      <c r="B33" s="92">
        <v>123</v>
      </c>
      <c r="C33" s="92">
        <v>2.46</v>
      </c>
      <c r="D33" s="92">
        <v>1.4890000000000001</v>
      </c>
      <c r="E33" s="92">
        <v>1.65</v>
      </c>
      <c r="F33" s="92">
        <v>0.91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primers</vt:lpstr>
      <vt:lpstr>Protein properties</vt:lpstr>
      <vt:lpstr>Catalysis tables</vt:lpstr>
      <vt:lpstr>Nanodrop 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Nguyen Trung</dc:creator>
  <cp:lastModifiedBy>M. Nguyen Trung</cp:lastModifiedBy>
  <cp:lastPrinted>2025-10-23T10:04:42Z</cp:lastPrinted>
  <dcterms:created xsi:type="dcterms:W3CDTF">2025-10-03T13:41:42Z</dcterms:created>
  <dcterms:modified xsi:type="dcterms:W3CDTF">2025-10-23T10:09:02Z</dcterms:modified>
</cp:coreProperties>
</file>