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5200" windowHeight="11340"/>
  </bookViews>
  <sheets>
    <sheet name="Contrat" sheetId="1" r:id="rId1"/>
  </sheets>
  <externalReferences>
    <externalReference r:id="rId2"/>
    <externalReference r:id="rId3"/>
  </externalReferences>
  <definedNames>
    <definedName name="_xlnm._FilterDatabase" localSheetId="0" hidden="1">Contrat!$A$1:$J$57</definedName>
    <definedName name="ACTIONSSERVICES">[1]ACTIONSSERVICES!$H$2:$H$9</definedName>
    <definedName name="CCAG">#REF!</definedName>
    <definedName name="CONTACTS">#REF!</definedName>
    <definedName name="DG">#REF!</definedName>
    <definedName name="DIRECTIONS">#REF!</definedName>
    <definedName name="ETAT">#REF!</definedName>
    <definedName name="_xlnm.Print_Titles" localSheetId="0">Contrat!$1:$1</definedName>
    <definedName name="OUINON">#REF!</definedName>
    <definedName name="PROCEDURES">#REF!</definedName>
    <definedName name="RECONDUCTION">#REF!</definedName>
    <definedName name="SERVICES">#REF!</definedName>
    <definedName name="Z_3B46FEBD_B6B5_4BC0_A88C_F5FADCC1BCFA_.wvu.FilterData" localSheetId="0" hidden="1">Contrat!$A$1:$J$22</definedName>
    <definedName name="Z_3B46FEBD_B6B5_4BC0_A88C_F5FADCC1BCFA_.wvu.PrintArea" localSheetId="0" hidden="1">Contrat!$A$1:$J$31</definedName>
    <definedName name="Z_3B46FEBD_B6B5_4BC0_A88C_F5FADCC1BCFA_.wvu.PrintTitles" localSheetId="0" hidden="1">Contrat!$1:$1</definedName>
    <definedName name="Z_3B46FEBD_B6B5_4BC0_A88C_F5FADCC1BCFA_.wvu.Rows" localSheetId="0" hidden="1">Contrat!#REF!,Contrat!#REF!</definedName>
    <definedName name="_xlnm.Print_Area" localSheetId="0">Contrat!$A$1:$J$119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H113" i="1" s="1"/>
  <c r="G110" i="1"/>
  <c r="H110" i="1" s="1"/>
  <c r="G107" i="1"/>
  <c r="H107" i="1" s="1"/>
  <c r="G103" i="1"/>
  <c r="H103" i="1" s="1"/>
  <c r="G99" i="1"/>
  <c r="H99" i="1" s="1"/>
  <c r="G94" i="1"/>
  <c r="H94" i="1" s="1"/>
  <c r="D92" i="1"/>
  <c r="G89" i="1"/>
  <c r="H89" i="1" s="1"/>
  <c r="G85" i="1"/>
  <c r="H85" i="1" s="1"/>
  <c r="D83" i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H72" i="1"/>
  <c r="D72" i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D63" i="1"/>
  <c r="G60" i="1"/>
  <c r="H60" i="1" s="1"/>
  <c r="F57" i="1"/>
  <c r="G57" i="1" s="1"/>
  <c r="H57" i="1" s="1"/>
  <c r="D55" i="1"/>
  <c r="G54" i="1"/>
  <c r="H54" i="1" s="1"/>
  <c r="D52" i="1"/>
  <c r="G51" i="1"/>
  <c r="H51" i="1" s="1"/>
  <c r="G48" i="1"/>
  <c r="H48" i="1" s="1"/>
  <c r="D48" i="1"/>
  <c r="G45" i="1"/>
  <c r="H45" i="1" s="1"/>
  <c r="D43" i="1"/>
  <c r="G42" i="1"/>
  <c r="H42" i="1" s="1"/>
  <c r="D40" i="1"/>
  <c r="G39" i="1"/>
  <c r="H39" i="1" s="1"/>
  <c r="D38" i="1"/>
  <c r="G35" i="1"/>
  <c r="H35" i="1" s="1"/>
  <c r="D33" i="1"/>
  <c r="G32" i="1"/>
  <c r="H32" i="1" s="1"/>
  <c r="D30" i="1"/>
  <c r="G29" i="1"/>
  <c r="H29" i="1" s="1"/>
  <c r="D27" i="1"/>
  <c r="G26" i="1"/>
  <c r="H26" i="1" s="1"/>
  <c r="D24" i="1"/>
  <c r="G23" i="1"/>
  <c r="H23" i="1" s="1"/>
  <c r="D22" i="1"/>
  <c r="H20" i="1"/>
  <c r="G20" i="1"/>
  <c r="D18" i="1"/>
  <c r="D16" i="1"/>
  <c r="H15" i="1"/>
  <c r="G15" i="1"/>
  <c r="D12" i="1"/>
  <c r="G11" i="1"/>
  <c r="H11" i="1" s="1"/>
  <c r="G8" i="1"/>
  <c r="H8" i="1" s="1"/>
  <c r="F8" i="1"/>
  <c r="D8" i="1"/>
  <c r="D6" i="1"/>
  <c r="H5" i="1"/>
  <c r="G5" i="1"/>
  <c r="G2" i="1"/>
  <c r="H2" i="1" s="1"/>
  <c r="D2" i="1"/>
</calcChain>
</file>

<file path=xl/sharedStrings.xml><?xml version="1.0" encoding="utf-8"?>
<sst xmlns="http://schemas.openxmlformats.org/spreadsheetml/2006/main" count="237" uniqueCount="193">
  <si>
    <t xml:space="preserve">N° </t>
  </si>
  <si>
    <t>Opération</t>
  </si>
  <si>
    <t>Attributaire</t>
  </si>
  <si>
    <t>Montant TTC</t>
  </si>
  <si>
    <t>Date de fin</t>
  </si>
  <si>
    <t>Sigec</t>
  </si>
  <si>
    <t>Route de Beaudinard - Le clos Fleuri</t>
  </si>
  <si>
    <t>13400  Aubagne</t>
  </si>
  <si>
    <t xml:space="preserve"> </t>
  </si>
  <si>
    <t>ARPEGE</t>
  </si>
  <si>
    <t>13 rue de la Loire</t>
  </si>
  <si>
    <t>44236 Saint Sébastien sur Loire</t>
  </si>
  <si>
    <t>Mac Os Assistance</t>
  </si>
  <si>
    <t>40 rue de Seine</t>
  </si>
  <si>
    <t>94140  Alfortville</t>
  </si>
  <si>
    <t>Maintenance du logiciel "L@billeterie"</t>
  </si>
  <si>
    <t>expresse</t>
  </si>
  <si>
    <t>Maintenance des impirmantes à billet DT230</t>
  </si>
  <si>
    <t>Maintenance du logiciel "Post-Office"</t>
  </si>
  <si>
    <t>Berger Levrault</t>
  </si>
  <si>
    <t>25 licences      92,58 / unité = 2314,50</t>
  </si>
  <si>
    <t>Parc d'affaires les Moulinets - Bat. B</t>
  </si>
  <si>
    <t>5 licences         40,63/unité = 203,15</t>
  </si>
  <si>
    <t>16 bl Charles de Gaulle</t>
  </si>
  <si>
    <t>44800 Saint Herblain cedex</t>
  </si>
  <si>
    <t>Maintenance du progiciel "Orphée"</t>
  </si>
  <si>
    <t>C3RB</t>
  </si>
  <si>
    <t>Hébergement du catalogue de la médiathèque</t>
  </si>
  <si>
    <t>IN 16-001</t>
  </si>
  <si>
    <t>Maintenance I-muse</t>
  </si>
  <si>
    <t>Abonnement au service Acteurs</t>
  </si>
  <si>
    <t>Aatlantide</t>
  </si>
  <si>
    <t>Dossier administratifs</t>
  </si>
  <si>
    <t>11A Chemin de Dhuy</t>
  </si>
  <si>
    <t>Dossier médical</t>
  </si>
  <si>
    <t>38240 Meylan</t>
  </si>
  <si>
    <t>Maintenance Clarilog</t>
  </si>
  <si>
    <t>CLARILOG</t>
  </si>
  <si>
    <t>ZAC du Bois de Chocque</t>
  </si>
  <si>
    <t>02 100 Saint Quentin</t>
  </si>
  <si>
    <t>Date de notification</t>
  </si>
  <si>
    <t>Durée en mois</t>
  </si>
  <si>
    <t>Mois restant duree init</t>
  </si>
  <si>
    <t>Reconduction</t>
  </si>
  <si>
    <t>Observation</t>
  </si>
  <si>
    <t>Evaluation des risques professionnels et abonnement annuel</t>
  </si>
  <si>
    <t>Editions legislatives</t>
  </si>
  <si>
    <t>80, avenue de la Marne</t>
  </si>
  <si>
    <t>92546 Montrouge cedex</t>
  </si>
  <si>
    <t>2014-027</t>
  </si>
  <si>
    <t>Maintenance</t>
  </si>
  <si>
    <t xml:space="preserve">IBM </t>
  </si>
  <si>
    <t>Tacite reconduction</t>
  </si>
  <si>
    <t>17 avenue de l'Europe</t>
  </si>
  <si>
    <t>92 275 Bois Colombes cedex</t>
  </si>
  <si>
    <t>2006-112</t>
  </si>
  <si>
    <t>Maintenance du logiciel "Infolive" - Intranet</t>
  </si>
  <si>
    <t>Inexine</t>
  </si>
  <si>
    <t>tacite</t>
  </si>
  <si>
    <t>39 avenue des Cevennes</t>
  </si>
  <si>
    <t>30 250  Villevieille</t>
  </si>
  <si>
    <t>15-026</t>
  </si>
  <si>
    <t>Canis : Gestion des animaux dangereux</t>
  </si>
  <si>
    <t>Logitud</t>
  </si>
  <si>
    <t>Cit’access : Gestion des cartes de stationnement</t>
  </si>
  <si>
    <t>ZAC du Parc des Collines</t>
  </si>
  <si>
    <t>Municipol : Gestion de la police municipale</t>
  </si>
  <si>
    <t>53 rue Victor Schoelcher</t>
  </si>
  <si>
    <t>Municipol carto : Cartographie statistique de la police municipale</t>
  </si>
  <si>
    <t>68200  Mulhouse</t>
  </si>
  <si>
    <t>15-104</t>
  </si>
  <si>
    <t xml:space="preserve">Maintenance                                              </t>
  </si>
  <si>
    <t>Espace citoyens premium</t>
  </si>
  <si>
    <t xml:space="preserve">Abonnement annuel                 </t>
  </si>
  <si>
    <t>UP Ciryzen</t>
  </si>
  <si>
    <t>42,00 € ttc par droit de connexion individuelle</t>
  </si>
  <si>
    <t>Verifier le montant du 1er semestre afin de rectifier le 2nd semestre</t>
  </si>
  <si>
    <t>Abc VieSion</t>
  </si>
  <si>
    <t>Centre d'Affaires Eleusis 1 - 1 rue Pierre et Marie Curie</t>
  </si>
  <si>
    <t>80,00 € par droit de connexion partagée</t>
  </si>
  <si>
    <t>22190 Plérin</t>
  </si>
  <si>
    <t>IN 17-001</t>
  </si>
  <si>
    <t>Hébergement et maintenance logiciel S'Elect</t>
  </si>
  <si>
    <t>IN 17-002</t>
  </si>
  <si>
    <t>Pay Box system</t>
  </si>
  <si>
    <t>Abo. annuel Paybox system régie guichet unique</t>
  </si>
  <si>
    <t>Abo. Annuel sur les transactions</t>
  </si>
  <si>
    <t>IN 17-003</t>
  </si>
  <si>
    <t xml:space="preserve">Arpege Diffusion </t>
  </si>
  <si>
    <t>Abonnement courriels</t>
  </si>
  <si>
    <t>IN 17-009</t>
  </si>
  <si>
    <t>Mise en œuvre, maintenance et support</t>
  </si>
  <si>
    <t>Libriciel</t>
  </si>
  <si>
    <t>I-parapheur   +   S²Low (hélios)</t>
  </si>
  <si>
    <t>du i-parapheur</t>
  </si>
  <si>
    <t>836 rue du Mas de Verchant</t>
  </si>
  <si>
    <t>34000 Montpellier</t>
  </si>
  <si>
    <t>²Low du 01/03/2018 au 28/02/2019</t>
  </si>
  <si>
    <t>IN18-001</t>
  </si>
  <si>
    <t>Renonciation au contrat avant le 31 octobre par courrier AR</t>
  </si>
  <si>
    <t>IN 18-002</t>
  </si>
  <si>
    <t>KLAXOON</t>
  </si>
  <si>
    <r>
      <t xml:space="preserve">Par courrier AR trente (30) jours avant la fin de la période initiale </t>
    </r>
    <r>
      <rPr>
        <b/>
        <sz val="8"/>
        <color rgb="FFFF3300"/>
        <rFont val="Arial"/>
        <family val="2"/>
      </rPr>
      <t>15/12/2018</t>
    </r>
  </si>
  <si>
    <t>Abonnement plateforme</t>
  </si>
  <si>
    <t>3 avenue Belle Fontaine</t>
  </si>
  <si>
    <t>35510 Cesson Sevigne</t>
  </si>
  <si>
    <t>IN 18-003</t>
  </si>
  <si>
    <t>Maintenance de l'installation de la climatisation salle serveur</t>
  </si>
  <si>
    <t>ASSITINDUS</t>
  </si>
  <si>
    <t>665 rue de la Maison Blanche</t>
  </si>
  <si>
    <t>78630  Orgeval</t>
  </si>
  <si>
    <t>IN 18-004</t>
  </si>
  <si>
    <t>Résidence Mozart - 21 rue Saint Firmin</t>
  </si>
  <si>
    <t>12850 Onet le Château</t>
  </si>
  <si>
    <t>IN 18-005</t>
  </si>
  <si>
    <t>IN 18-006</t>
  </si>
  <si>
    <t xml:space="preserve">Maintenance TopStation </t>
  </si>
  <si>
    <t>JSINFO LOGICIELS</t>
  </si>
  <si>
    <r>
      <t xml:space="preserve">Par courrier AR trente 3 mois avant la fin de la période initiale </t>
    </r>
    <r>
      <rPr>
        <sz val="8"/>
        <color rgb="FFFF0000"/>
        <rFont val="Arial"/>
        <family val="2"/>
      </rPr>
      <t>31</t>
    </r>
    <r>
      <rPr>
        <b/>
        <sz val="8"/>
        <color rgb="FFFF0000"/>
        <rFont val="Arial"/>
        <family val="2"/>
      </rPr>
      <t>/</t>
    </r>
    <r>
      <rPr>
        <b/>
        <sz val="8"/>
        <color rgb="FFFF3300"/>
        <rFont val="Arial"/>
        <family val="2"/>
      </rPr>
      <t>12/2018</t>
    </r>
  </si>
  <si>
    <t>8 rue de la Maison Rouge</t>
  </si>
  <si>
    <t>77 185 Lognes</t>
  </si>
  <si>
    <t>IN 18-009</t>
  </si>
  <si>
    <t>Maintenance Mac de la ville</t>
  </si>
  <si>
    <t>Dénonciation par courrier AR un mois avant échéance du trimestre suivant</t>
  </si>
  <si>
    <t>IN 18-010</t>
  </si>
  <si>
    <t>Interface chorus Pro</t>
  </si>
  <si>
    <t>Ciril</t>
  </si>
  <si>
    <t>40 avenue Albert Einstein</t>
  </si>
  <si>
    <t>69100 Villerbanne</t>
  </si>
  <si>
    <t>IN 18-011</t>
  </si>
  <si>
    <t>JVS Implicit (ccas)</t>
  </si>
  <si>
    <t>Le Mont Bernard</t>
  </si>
  <si>
    <t>51 000  Châlons en Champagne</t>
  </si>
  <si>
    <t>IN 18-012</t>
  </si>
  <si>
    <t>CONCERTO</t>
  </si>
  <si>
    <t>Concertino - 4 postes</t>
  </si>
  <si>
    <t>Concerto mobilité Opus - 24 postes</t>
  </si>
  <si>
    <t>Concerto opus Inteface comptable</t>
  </si>
  <si>
    <t>Concerto Opus interface ocre</t>
  </si>
  <si>
    <t>Concerto Opus interface sepa</t>
  </si>
  <si>
    <t>Concerto Opus maintenance - 61 postes</t>
  </si>
  <si>
    <t>Concerto Opus module de pointage</t>
  </si>
  <si>
    <t>Concerto Opus module multi activités</t>
  </si>
  <si>
    <t>IN 18-013</t>
  </si>
  <si>
    <t>ESPACE FAMILLE + SOPRANO</t>
  </si>
  <si>
    <t>Alto Guichet</t>
  </si>
  <si>
    <t>Alto V5</t>
  </si>
  <si>
    <t>Image V5</t>
  </si>
  <si>
    <t>Maestro V5</t>
  </si>
  <si>
    <t>Mélodie V5</t>
  </si>
  <si>
    <t>Requiem V5</t>
  </si>
  <si>
    <t>Soprano Animation V5</t>
  </si>
  <si>
    <t>Soprano Gestion  V5</t>
  </si>
  <si>
    <t>Avenant - Meldie V5 E demat</t>
  </si>
  <si>
    <t>IN 18-014</t>
  </si>
  <si>
    <t>Période d'un an par lettre recommandée AR trente jours avant (15 novembre 2019)</t>
  </si>
  <si>
    <t>IN 18-015</t>
  </si>
  <si>
    <t>SAIGA INFORMATIQUE</t>
  </si>
  <si>
    <t>17 rue Patrick Depailler</t>
  </si>
  <si>
    <t>Parc Technologique La Pardieu</t>
  </si>
  <si>
    <t>63000 Clermont-Ferrand</t>
  </si>
  <si>
    <t>IN 18-016</t>
  </si>
  <si>
    <t>Pack hub regroupement</t>
  </si>
  <si>
    <t>PITNEY BOWES</t>
  </si>
  <si>
    <t>Immeuble Triangle</t>
  </si>
  <si>
    <t xml:space="preserve">9 rue Paul Lafargue </t>
  </si>
  <si>
    <t>CS 20012</t>
  </si>
  <si>
    <t>Ferme</t>
  </si>
  <si>
    <t>93 456 La Plaine Saint Denis</t>
  </si>
  <si>
    <t>IN 18-017</t>
  </si>
  <si>
    <t>Maintenance mise sous plie service reprographie</t>
  </si>
  <si>
    <t>Sans dénonciation recondution tacite</t>
  </si>
  <si>
    <t>IN 19-001</t>
  </si>
  <si>
    <t>Maintenance annuelle du système de détection incendie de la salle serveur</t>
  </si>
  <si>
    <t>DEF</t>
  </si>
  <si>
    <t>Dénonciation par courrier AR 3 mois avant l'expiration de la période annuelle en cours</t>
  </si>
  <si>
    <t>Parc d'Activités du Moulin</t>
  </si>
  <si>
    <t>9 rue de Saule Trapu</t>
  </si>
  <si>
    <t>BP 211 - 91882 Massy cedex</t>
  </si>
  <si>
    <t>IN 19-002</t>
  </si>
  <si>
    <t>Maintenance Portail usager et cart@ds</t>
  </si>
  <si>
    <t>GFI PROGICIELS</t>
  </si>
  <si>
    <t>IN 19-003</t>
  </si>
  <si>
    <t>RESSOURCES SI</t>
  </si>
  <si>
    <t>2 rue Hélène Boucher</t>
  </si>
  <si>
    <t xml:space="preserve">78280 Guyancourt </t>
  </si>
  <si>
    <t>IN 19-004</t>
  </si>
  <si>
    <t>Dénonciation par courrier AR 30 jours avant l'échéance du contrat</t>
  </si>
  <si>
    <t>IN 19-</t>
  </si>
  <si>
    <t>Maintenance  "Reflex"</t>
  </si>
  <si>
    <t>LUMIPLAN</t>
  </si>
  <si>
    <t>1 Impasse Augustin Fresnel</t>
  </si>
  <si>
    <t>44815 Saint Herblain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</si>
</sst>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F_-;\-* #,##0.00\ _F_-;_-* &quot;-&quot;??\ _F_-;_-@_-"/>
    <numFmt numFmtId="165" formatCode="[$-40C]d\-mmm\-yy;@"/>
    <numFmt numFmtId="166" formatCode="#,##0.00_ ;\-#,##0.00\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rgb="FF0000FF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0"/>
      <color rgb="FFFF33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rgb="FFFF0000"/>
      <name val="Arial"/>
      <family val="2"/>
    </font>
    <font>
      <sz val="10"/>
      <name val="Calibri"/>
      <family val="2"/>
      <scheme val="minor"/>
    </font>
    <font>
      <b/>
      <sz val="8"/>
      <color rgb="FFFF33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  <font>
      <b/>
      <sz val="11"/>
      <color rgb="FFFF0000"/>
      <name val="Calibri"/>
      <scheme val="minor"/>
    </font>
    <font>
      <b/>
      <sz val="11"/>
      <color theme="1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6" fillId="0" borderId="0"/>
    <xf numFmtId="0" fontId="1" fillId="0" borderId="0"/>
  </cellStyleXfs>
  <cellXfs count="221">
    <xf numFmtId="0" fontId="0" fillId="0" borderId="0" xfId="0"/>
    <xf numFmtId="0" fontId="6" fillId="2" borderId="0" xfId="3" applyFill="1" applyAlignment="1">
      <alignment vertical="center"/>
    </xf>
    <xf numFmtId="0" fontId="6" fillId="2" borderId="0" xfId="3" applyFill="1"/>
    <xf numFmtId="0" fontId="6" fillId="2" borderId="0" xfId="3" applyFill="1" applyAlignment="1"/>
    <xf numFmtId="0" fontId="6" fillId="2" borderId="4" xfId="3" applyFill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center" vertical="center"/>
    </xf>
    <xf numFmtId="164" fontId="7" fillId="2" borderId="4" xfId="2" applyFont="1" applyFill="1" applyBorder="1" applyAlignment="1">
      <alignment vertical="center"/>
    </xf>
    <xf numFmtId="15" fontId="7" fillId="2" borderId="4" xfId="1" applyNumberFormat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/>
    </xf>
    <xf numFmtId="165" fontId="6" fillId="2" borderId="4" xfId="3" applyNumberFormat="1" applyFill="1" applyBorder="1" applyAlignment="1">
      <alignment horizontal="center" vertical="center"/>
    </xf>
    <xf numFmtId="0" fontId="6" fillId="2" borderId="6" xfId="3" applyFill="1" applyBorder="1" applyAlignment="1">
      <alignment horizontal="center" vertical="center"/>
    </xf>
    <xf numFmtId="0" fontId="7" fillId="2" borderId="6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center" vertical="center"/>
    </xf>
    <xf numFmtId="166" fontId="7" fillId="2" borderId="6" xfId="2" applyNumberFormat="1" applyFont="1" applyFill="1" applyBorder="1" applyAlignment="1">
      <alignment vertical="center"/>
    </xf>
    <xf numFmtId="15" fontId="7" fillId="2" borderId="6" xfId="1" applyNumberFormat="1" applyFont="1" applyFill="1" applyBorder="1" applyAlignment="1">
      <alignment horizontal="center" vertical="center"/>
    </xf>
    <xf numFmtId="0" fontId="7" fillId="2" borderId="6" xfId="1" applyNumberFormat="1" applyFont="1" applyFill="1" applyBorder="1" applyAlignment="1">
      <alignment horizontal="center" vertical="center"/>
    </xf>
    <xf numFmtId="165" fontId="6" fillId="2" borderId="6" xfId="3" applyNumberFormat="1" applyFill="1" applyBorder="1" applyAlignment="1">
      <alignment horizontal="center" vertical="center"/>
    </xf>
    <xf numFmtId="0" fontId="6" fillId="2" borderId="8" xfId="3" applyFill="1" applyBorder="1" applyAlignment="1">
      <alignment horizontal="center" vertical="center"/>
    </xf>
    <xf numFmtId="0" fontId="7" fillId="2" borderId="8" xfId="1" applyFont="1" applyFill="1" applyBorder="1" applyAlignment="1">
      <alignment horizontal="left" vertical="center" wrapText="1"/>
    </xf>
    <xf numFmtId="15" fontId="7" fillId="2" borderId="8" xfId="1" applyNumberFormat="1" applyFont="1" applyFill="1" applyBorder="1" applyAlignment="1">
      <alignment horizontal="center" vertical="center"/>
    </xf>
    <xf numFmtId="166" fontId="7" fillId="2" borderId="8" xfId="2" applyNumberFormat="1" applyFont="1" applyFill="1" applyBorder="1" applyAlignment="1">
      <alignment vertical="center"/>
    </xf>
    <xf numFmtId="15" fontId="7" fillId="2" borderId="8" xfId="1" applyNumberFormat="1" applyFont="1" applyFill="1" applyBorder="1" applyAlignment="1">
      <alignment horizontal="center" vertical="center"/>
    </xf>
    <xf numFmtId="0" fontId="7" fillId="2" borderId="8" xfId="1" applyNumberFormat="1" applyFont="1" applyFill="1" applyBorder="1" applyAlignment="1">
      <alignment horizontal="center" vertical="center"/>
    </xf>
    <xf numFmtId="166" fontId="7" fillId="2" borderId="4" xfId="2" applyNumberFormat="1" applyFont="1" applyFill="1" applyBorder="1" applyAlignment="1">
      <alignment vertical="center"/>
    </xf>
    <xf numFmtId="165" fontId="6" fillId="2" borderId="2" xfId="3" applyNumberFormat="1" applyFill="1" applyBorder="1" applyAlignment="1">
      <alignment horizontal="center" vertical="center"/>
    </xf>
    <xf numFmtId="0" fontId="6" fillId="2" borderId="2" xfId="3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4" fontId="7" fillId="2" borderId="4" xfId="2" applyFont="1" applyFill="1" applyBorder="1" applyAlignment="1">
      <alignment horizontal="right" vertical="center"/>
    </xf>
    <xf numFmtId="0" fontId="6" fillId="2" borderId="4" xfId="3" applyFill="1" applyBorder="1" applyAlignment="1">
      <alignment horizontal="center" vertical="center"/>
    </xf>
    <xf numFmtId="164" fontId="7" fillId="2" borderId="6" xfId="2" applyFont="1" applyFill="1" applyBorder="1" applyAlignment="1">
      <alignment horizontal="right" vertical="center"/>
    </xf>
    <xf numFmtId="0" fontId="6" fillId="2" borderId="6" xfId="3" applyFill="1" applyBorder="1" applyAlignment="1">
      <alignment horizontal="center" vertical="center"/>
    </xf>
    <xf numFmtId="164" fontId="9" fillId="2" borderId="8" xfId="2" applyFont="1" applyFill="1" applyBorder="1" applyAlignment="1">
      <alignment horizontal="right" vertical="center"/>
    </xf>
    <xf numFmtId="0" fontId="6" fillId="0" borderId="6" xfId="3" applyFill="1" applyBorder="1" applyAlignment="1">
      <alignment horizontal="center" vertical="center"/>
    </xf>
    <xf numFmtId="0" fontId="7" fillId="0" borderId="6" xfId="1" applyFont="1" applyFill="1" applyBorder="1" applyAlignment="1">
      <alignment vertical="center"/>
    </xf>
    <xf numFmtId="164" fontId="7" fillId="0" borderId="6" xfId="2" applyFont="1" applyFill="1" applyBorder="1" applyAlignment="1">
      <alignment horizontal="right" vertical="center"/>
    </xf>
    <xf numFmtId="15" fontId="7" fillId="0" borderId="6" xfId="1" applyNumberFormat="1" applyFont="1" applyFill="1" applyBorder="1" applyAlignment="1">
      <alignment horizontal="center" vertical="center"/>
    </xf>
    <xf numFmtId="0" fontId="7" fillId="0" borderId="6" xfId="1" applyNumberFormat="1" applyFont="1" applyFill="1" applyBorder="1" applyAlignment="1">
      <alignment horizontal="center" vertical="center"/>
    </xf>
    <xf numFmtId="165" fontId="6" fillId="0" borderId="8" xfId="3" applyNumberFormat="1" applyFill="1" applyBorder="1" applyAlignment="1">
      <alignment horizontal="center" vertical="center"/>
    </xf>
    <xf numFmtId="0" fontId="6" fillId="0" borderId="7" xfId="3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165" fontId="6" fillId="0" borderId="2" xfId="3" applyNumberFormat="1" applyFill="1" applyBorder="1" applyAlignment="1">
      <alignment horizontal="center" vertical="center"/>
    </xf>
    <xf numFmtId="0" fontId="6" fillId="0" borderId="1" xfId="3" applyFill="1" applyBorder="1" applyAlignment="1">
      <alignment horizontal="center" vertical="center"/>
    </xf>
    <xf numFmtId="0" fontId="6" fillId="0" borderId="8" xfId="3" applyFill="1" applyBorder="1" applyAlignment="1">
      <alignment horizontal="center" vertical="center"/>
    </xf>
    <xf numFmtId="0" fontId="7" fillId="0" borderId="8" xfId="1" applyFont="1" applyFill="1" applyBorder="1" applyAlignment="1">
      <alignment vertical="center"/>
    </xf>
    <xf numFmtId="15" fontId="7" fillId="0" borderId="8" xfId="1" applyNumberFormat="1" applyFont="1" applyFill="1" applyBorder="1" applyAlignment="1">
      <alignment horizontal="center" vertical="center"/>
    </xf>
    <xf numFmtId="164" fontId="9" fillId="0" borderId="8" xfId="2" applyFont="1" applyFill="1" applyBorder="1" applyAlignment="1">
      <alignment horizontal="right" vertical="center"/>
    </xf>
    <xf numFmtId="15" fontId="7" fillId="0" borderId="8" xfId="1" applyNumberFormat="1" applyFont="1" applyFill="1" applyBorder="1" applyAlignment="1">
      <alignment horizontal="center" vertical="center"/>
    </xf>
    <xf numFmtId="0" fontId="7" fillId="0" borderId="8" xfId="1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1" fontId="7" fillId="2" borderId="4" xfId="1" applyNumberFormat="1" applyFont="1" applyFill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1" fontId="7" fillId="2" borderId="6" xfId="1" applyNumberFormat="1" applyFont="1" applyFill="1" applyBorder="1" applyAlignment="1">
      <alignment horizontal="center" vertical="center"/>
    </xf>
    <xf numFmtId="165" fontId="12" fillId="2" borderId="6" xfId="1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1" fontId="7" fillId="2" borderId="8" xfId="1" applyNumberFormat="1" applyFont="1" applyFill="1" applyBorder="1" applyAlignment="1">
      <alignment horizontal="center" vertical="center"/>
    </xf>
    <xf numFmtId="165" fontId="12" fillId="2" borderId="8" xfId="1" applyNumberFormat="1" applyFont="1" applyFill="1" applyBorder="1" applyAlignment="1">
      <alignment horizontal="center" vertical="center" wrapText="1"/>
    </xf>
    <xf numFmtId="164" fontId="7" fillId="0" borderId="4" xfId="2" applyFont="1" applyFill="1" applyBorder="1" applyAlignment="1">
      <alignment horizontal="right" vertical="center"/>
    </xf>
    <xf numFmtId="0" fontId="4" fillId="4" borderId="2" xfId="1" applyFont="1" applyFill="1" applyBorder="1" applyAlignment="1">
      <alignment horizontal="center" vertical="center" wrapText="1"/>
    </xf>
    <xf numFmtId="164" fontId="4" fillId="4" borderId="2" xfId="2" applyFont="1" applyFill="1" applyBorder="1" applyAlignment="1">
      <alignment horizontal="center" vertical="center" wrapText="1"/>
    </xf>
    <xf numFmtId="15" fontId="5" fillId="4" borderId="2" xfId="1" applyNumberFormat="1" applyFont="1" applyFill="1" applyBorder="1" applyAlignment="1">
      <alignment horizontal="center" vertical="center" wrapText="1"/>
    </xf>
    <xf numFmtId="1" fontId="4" fillId="4" borderId="2" xfId="1" applyNumberFormat="1" applyFont="1" applyFill="1" applyBorder="1" applyAlignment="1">
      <alignment horizontal="center" vertical="center" wrapText="1"/>
    </xf>
    <xf numFmtId="165" fontId="4" fillId="4" borderId="2" xfId="1" applyNumberFormat="1" applyFont="1" applyFill="1" applyBorder="1" applyAlignment="1">
      <alignment horizontal="center" vertical="center" wrapText="1"/>
    </xf>
    <xf numFmtId="0" fontId="2" fillId="4" borderId="2" xfId="3" applyFont="1" applyFill="1" applyBorder="1" applyAlignment="1">
      <alignment horizontal="center" vertical="center" wrapText="1"/>
    </xf>
    <xf numFmtId="0" fontId="2" fillId="4" borderId="10" xfId="3" applyFont="1" applyFill="1" applyBorder="1" applyAlignment="1">
      <alignment horizontal="center" vertical="center" wrapText="1"/>
    </xf>
    <xf numFmtId="0" fontId="10" fillId="4" borderId="2" xfId="3" applyFont="1" applyFill="1" applyBorder="1" applyAlignment="1">
      <alignment horizontal="center" vertical="center"/>
    </xf>
    <xf numFmtId="0" fontId="14" fillId="2" borderId="4" xfId="3" applyFont="1" applyFill="1" applyBorder="1" applyAlignment="1">
      <alignment horizontal="center" vertical="center"/>
    </xf>
    <xf numFmtId="166" fontId="7" fillId="2" borderId="4" xfId="2" applyNumberFormat="1" applyFont="1" applyFill="1" applyBorder="1" applyAlignment="1">
      <alignment horizontal="right" vertical="center"/>
    </xf>
    <xf numFmtId="165" fontId="15" fillId="2" borderId="4" xfId="1" applyNumberFormat="1" applyFont="1" applyFill="1" applyBorder="1" applyAlignment="1">
      <alignment horizontal="center" vertical="center" wrapText="1"/>
    </xf>
    <xf numFmtId="0" fontId="14" fillId="2" borderId="6" xfId="3" applyFont="1" applyFill="1" applyBorder="1" applyAlignment="1">
      <alignment horizontal="center" vertical="center"/>
    </xf>
    <xf numFmtId="166" fontId="7" fillId="2" borderId="6" xfId="2" applyNumberFormat="1" applyFont="1" applyFill="1" applyBorder="1" applyAlignment="1">
      <alignment horizontal="right" vertical="center"/>
    </xf>
    <xf numFmtId="0" fontId="0" fillId="2" borderId="6" xfId="0" applyFill="1" applyBorder="1"/>
    <xf numFmtId="0" fontId="14" fillId="2" borderId="8" xfId="3" applyFont="1" applyFill="1" applyBorder="1" applyAlignment="1">
      <alignment horizontal="center" vertical="center"/>
    </xf>
    <xf numFmtId="166" fontId="7" fillId="2" borderId="8" xfId="2" applyNumberFormat="1" applyFont="1" applyFill="1" applyBorder="1" applyAlignment="1">
      <alignment horizontal="right" vertical="center"/>
    </xf>
    <xf numFmtId="0" fontId="0" fillId="2" borderId="8" xfId="0" applyFill="1" applyBorder="1"/>
    <xf numFmtId="164" fontId="7" fillId="2" borderId="6" xfId="2" applyFont="1" applyFill="1" applyBorder="1" applyAlignment="1">
      <alignment horizontal="center" vertical="center"/>
    </xf>
    <xf numFmtId="0" fontId="6" fillId="2" borderId="4" xfId="3" applyFill="1" applyBorder="1" applyAlignment="1">
      <alignment horizontal="center" vertical="center" wrapText="1"/>
    </xf>
    <xf numFmtId="0" fontId="6" fillId="2" borderId="6" xfId="3" applyFill="1" applyBorder="1" applyAlignment="1">
      <alignment horizontal="center" vertical="center" wrapText="1"/>
    </xf>
    <xf numFmtId="0" fontId="0" fillId="0" borderId="6" xfId="0" applyBorder="1"/>
    <xf numFmtId="0" fontId="6" fillId="2" borderId="8" xfId="3" applyFill="1" applyBorder="1" applyAlignment="1">
      <alignment horizontal="center" vertical="center" wrapText="1"/>
    </xf>
    <xf numFmtId="0" fontId="0" fillId="0" borderId="8" xfId="0" applyBorder="1"/>
    <xf numFmtId="0" fontId="6" fillId="3" borderId="4" xfId="3" applyFill="1" applyBorder="1" applyAlignment="1">
      <alignment horizontal="center" vertical="center"/>
    </xf>
    <xf numFmtId="0" fontId="6" fillId="3" borderId="6" xfId="3" applyFill="1" applyBorder="1" applyAlignment="1">
      <alignment horizontal="center" vertical="center"/>
    </xf>
    <xf numFmtId="0" fontId="6" fillId="3" borderId="8" xfId="3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/>
    </xf>
    <xf numFmtId="165" fontId="6" fillId="2" borderId="4" xfId="3" applyNumberForma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left" vertical="center"/>
    </xf>
    <xf numFmtId="165" fontId="6" fillId="2" borderId="6" xfId="3" applyNumberFormat="1" applyFill="1" applyBorder="1" applyAlignment="1">
      <alignment horizontal="center" vertical="center" wrapText="1"/>
    </xf>
    <xf numFmtId="0" fontId="3" fillId="2" borderId="8" xfId="3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left" vertical="center"/>
    </xf>
    <xf numFmtId="0" fontId="7" fillId="2" borderId="8" xfId="1" applyFont="1" applyFill="1" applyBorder="1" applyAlignment="1">
      <alignment horizontal="center" vertical="center"/>
    </xf>
    <xf numFmtId="165" fontId="6" fillId="2" borderId="8" xfId="3" applyNumberFormat="1" applyFill="1" applyBorder="1" applyAlignment="1">
      <alignment horizontal="center" vertical="center" wrapText="1"/>
    </xf>
    <xf numFmtId="164" fontId="7" fillId="2" borderId="4" xfId="2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center" vertical="center"/>
    </xf>
    <xf numFmtId="164" fontId="7" fillId="2" borderId="6" xfId="2" applyFont="1" applyFill="1" applyBorder="1" applyAlignment="1">
      <alignment horizontal="left" vertical="center"/>
    </xf>
    <xf numFmtId="164" fontId="7" fillId="2" borderId="8" xfId="2" applyFont="1" applyFill="1" applyBorder="1" applyAlignment="1">
      <alignment horizontal="center" vertical="center"/>
    </xf>
    <xf numFmtId="0" fontId="16" fillId="2" borderId="4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164" fontId="7" fillId="2" borderId="4" xfId="2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0" fontId="14" fillId="2" borderId="4" xfId="3" applyFont="1" applyFill="1" applyBorder="1" applyAlignment="1">
      <alignment horizontal="center" wrapText="1"/>
    </xf>
    <xf numFmtId="0" fontId="6" fillId="2" borderId="6" xfId="3" applyFont="1" applyFill="1" applyBorder="1" applyAlignment="1">
      <alignment horizontal="left" vertical="center"/>
    </xf>
    <xf numFmtId="0" fontId="9" fillId="2" borderId="6" xfId="3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16" fillId="2" borderId="8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vertical="center"/>
    </xf>
    <xf numFmtId="14" fontId="7" fillId="2" borderId="8" xfId="1" applyNumberFormat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165" fontId="17" fillId="2" borderId="4" xfId="1" applyNumberFormat="1" applyFont="1" applyFill="1" applyBorder="1" applyAlignment="1">
      <alignment vertical="center"/>
    </xf>
    <xf numFmtId="0" fontId="7" fillId="2" borderId="6" xfId="1" applyFont="1" applyFill="1" applyBorder="1" applyAlignment="1">
      <alignment horizontal="center" vertical="center" wrapText="1"/>
    </xf>
    <xf numFmtId="165" fontId="17" fillId="2" borderId="6" xfId="1" applyNumberFormat="1" applyFont="1" applyFill="1" applyBorder="1" applyAlignment="1">
      <alignment vertical="center"/>
    </xf>
    <xf numFmtId="165" fontId="17" fillId="2" borderId="8" xfId="1" applyNumberFormat="1" applyFont="1" applyFill="1" applyBorder="1" applyAlignment="1">
      <alignment vertical="center"/>
    </xf>
    <xf numFmtId="0" fontId="7" fillId="2" borderId="4" xfId="1" applyFont="1" applyFill="1" applyBorder="1" applyAlignment="1">
      <alignment vertical="center"/>
    </xf>
    <xf numFmtId="0" fontId="6" fillId="2" borderId="1" xfId="3" applyFill="1" applyBorder="1" applyAlignment="1">
      <alignment horizontal="center" vertical="center"/>
    </xf>
    <xf numFmtId="0" fontId="7" fillId="2" borderId="6" xfId="1" applyFont="1" applyFill="1" applyBorder="1" applyAlignment="1">
      <alignment vertical="center"/>
    </xf>
    <xf numFmtId="164" fontId="7" fillId="2" borderId="6" xfId="2" applyFont="1" applyFill="1" applyBorder="1" applyAlignment="1">
      <alignment vertical="center"/>
    </xf>
    <xf numFmtId="0" fontId="7" fillId="2" borderId="8" xfId="1" applyFont="1" applyFill="1" applyBorder="1" applyAlignment="1">
      <alignment vertical="center"/>
    </xf>
    <xf numFmtId="164" fontId="4" fillId="2" borderId="8" xfId="2" applyFont="1" applyFill="1" applyBorder="1" applyAlignment="1">
      <alignment vertical="center"/>
    </xf>
    <xf numFmtId="164" fontId="4" fillId="2" borderId="4" xfId="2" applyFont="1" applyFill="1" applyBorder="1" applyAlignment="1">
      <alignment horizontal="right" vertical="center"/>
    </xf>
    <xf numFmtId="165" fontId="3" fillId="2" borderId="4" xfId="1" applyNumberFormat="1" applyFont="1" applyFill="1" applyBorder="1" applyAlignment="1">
      <alignment horizontal="left" vertical="center" wrapText="1"/>
    </xf>
    <xf numFmtId="0" fontId="7" fillId="2" borderId="6" xfId="3" applyFont="1" applyFill="1" applyBorder="1" applyAlignment="1"/>
    <xf numFmtId="0" fontId="18" fillId="2" borderId="6" xfId="0" applyFont="1" applyFill="1" applyBorder="1" applyAlignment="1">
      <alignment horizontal="left"/>
    </xf>
    <xf numFmtId="0" fontId="7" fillId="2" borderId="8" xfId="3" applyFont="1" applyFill="1" applyBorder="1" applyAlignment="1"/>
    <xf numFmtId="0" fontId="18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 vertical="center" wrapText="1"/>
    </xf>
    <xf numFmtId="0" fontId="6" fillId="2" borderId="3" xfId="3" applyFill="1" applyBorder="1" applyAlignment="1">
      <alignment horizontal="center" vertical="center"/>
    </xf>
    <xf numFmtId="2" fontId="7" fillId="2" borderId="6" xfId="3" applyNumberFormat="1" applyFont="1" applyFill="1" applyBorder="1" applyAlignment="1"/>
    <xf numFmtId="0" fontId="6" fillId="2" borderId="5" xfId="3" applyFill="1" applyBorder="1" applyAlignment="1">
      <alignment horizontal="center" vertical="center"/>
    </xf>
    <xf numFmtId="0" fontId="9" fillId="2" borderId="8" xfId="0" applyFont="1" applyFill="1" applyBorder="1" applyAlignment="1">
      <alignment horizontal="left" vertical="center" wrapText="1"/>
    </xf>
    <xf numFmtId="0" fontId="6" fillId="2" borderId="7" xfId="3" applyFill="1" applyBorder="1" applyAlignment="1">
      <alignment horizontal="center" vertical="center"/>
    </xf>
    <xf numFmtId="0" fontId="6" fillId="2" borderId="3" xfId="3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left"/>
    </xf>
    <xf numFmtId="0" fontId="6" fillId="2" borderId="5" xfId="3" applyFill="1" applyBorder="1" applyAlignment="1">
      <alignment horizontal="center" vertical="center" wrapText="1"/>
    </xf>
    <xf numFmtId="0" fontId="6" fillId="2" borderId="7" xfId="3" applyFill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3" fillId="2" borderId="0" xfId="3" applyFont="1" applyFill="1" applyBorder="1" applyAlignment="1">
      <alignment vertical="center" wrapText="1"/>
    </xf>
    <xf numFmtId="0" fontId="7" fillId="0" borderId="4" xfId="1" applyFont="1" applyFill="1" applyBorder="1" applyAlignment="1">
      <alignment horizontal="left" vertical="center" wrapText="1"/>
    </xf>
    <xf numFmtId="165" fontId="22" fillId="2" borderId="6" xfId="1" applyNumberFormat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left" vertical="center" wrapText="1"/>
    </xf>
    <xf numFmtId="0" fontId="0" fillId="0" borderId="6" xfId="0" applyFont="1" applyBorder="1"/>
    <xf numFmtId="0" fontId="7" fillId="0" borderId="8" xfId="1" applyFont="1" applyFill="1" applyBorder="1" applyAlignment="1">
      <alignment horizontal="left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0" fillId="0" borderId="8" xfId="0" applyFont="1" applyBorder="1"/>
    <xf numFmtId="165" fontId="15" fillId="2" borderId="6" xfId="1" applyNumberFormat="1" applyFont="1" applyFill="1" applyBorder="1" applyAlignment="1">
      <alignment horizontal="center" vertical="center" wrapText="1"/>
    </xf>
    <xf numFmtId="164" fontId="9" fillId="0" borderId="6" xfId="2" applyFont="1" applyFill="1" applyBorder="1" applyAlignment="1">
      <alignment horizontal="right" vertical="center"/>
    </xf>
    <xf numFmtId="0" fontId="2" fillId="2" borderId="2" xfId="4" applyFont="1" applyFill="1" applyBorder="1" applyAlignment="1">
      <alignment horizontal="left"/>
    </xf>
    <xf numFmtId="4" fontId="10" fillId="2" borderId="9" xfId="4" applyNumberFormat="1" applyFont="1" applyFill="1" applyBorder="1" applyAlignment="1">
      <alignment horizontal="right"/>
    </xf>
    <xf numFmtId="165" fontId="3" fillId="2" borderId="4" xfId="3" applyNumberFormat="1" applyFont="1" applyFill="1" applyBorder="1" applyAlignment="1">
      <alignment horizontal="center" vertical="center"/>
    </xf>
    <xf numFmtId="165" fontId="6" fillId="2" borderId="4" xfId="3" applyNumberForma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7" fillId="5" borderId="12" xfId="1" applyFont="1" applyFill="1" applyBorder="1" applyAlignment="1">
      <alignment horizontal="left" vertical="center"/>
    </xf>
    <xf numFmtId="0" fontId="15" fillId="2" borderId="6" xfId="1" applyFont="1" applyFill="1" applyBorder="1" applyAlignment="1">
      <alignment horizontal="center" vertical="center"/>
    </xf>
    <xf numFmtId="166" fontId="7" fillId="5" borderId="12" xfId="2" applyNumberFormat="1" applyFont="1" applyFill="1" applyBorder="1" applyAlignment="1">
      <alignment vertical="center"/>
    </xf>
    <xf numFmtId="0" fontId="6" fillId="2" borderId="0" xfId="3" applyFill="1" applyBorder="1" applyAlignment="1"/>
    <xf numFmtId="0" fontId="23" fillId="0" borderId="6" xfId="0" applyFont="1" applyBorder="1" applyAlignment="1">
      <alignment horizontal="center" vertical="center"/>
    </xf>
    <xf numFmtId="166" fontId="7" fillId="5" borderId="13" xfId="2" applyNumberFormat="1" applyFont="1" applyFill="1" applyBorder="1" applyAlignment="1">
      <alignment horizontal="right" vertical="center"/>
    </xf>
    <xf numFmtId="0" fontId="7" fillId="5" borderId="13" xfId="1" applyFont="1" applyFill="1" applyBorder="1" applyAlignment="1">
      <alignment horizontal="left" vertical="center"/>
    </xf>
    <xf numFmtId="2" fontId="6" fillId="2" borderId="0" xfId="3" applyNumberFormat="1" applyFill="1" applyAlignment="1"/>
    <xf numFmtId="0" fontId="22" fillId="2" borderId="6" xfId="1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4" fillId="2" borderId="12" xfId="1" applyFont="1" applyFill="1" applyBorder="1" applyAlignment="1">
      <alignment horizontal="left" vertical="center"/>
    </xf>
    <xf numFmtId="166" fontId="4" fillId="2" borderId="13" xfId="2" applyNumberFormat="1" applyFont="1" applyFill="1" applyBorder="1" applyAlignment="1">
      <alignment horizontal="right"/>
    </xf>
    <xf numFmtId="166" fontId="14" fillId="2" borderId="6" xfId="3" applyNumberFormat="1" applyFont="1" applyFill="1" applyBorder="1" applyAlignment="1">
      <alignment horizontal="center" vertical="center" wrapText="1"/>
    </xf>
    <xf numFmtId="0" fontId="7" fillId="6" borderId="13" xfId="1" applyFont="1" applyFill="1" applyBorder="1" applyAlignment="1">
      <alignment horizontal="left" vertical="center"/>
    </xf>
    <xf numFmtId="166" fontId="7" fillId="6" borderId="13" xfId="2" applyNumberFormat="1" applyFont="1" applyFill="1" applyBorder="1" applyAlignment="1">
      <alignment horizontal="right" vertical="center"/>
    </xf>
    <xf numFmtId="0" fontId="7" fillId="6" borderId="14" xfId="1" applyFont="1" applyFill="1" applyBorder="1" applyAlignment="1">
      <alignment horizontal="left" vertical="center"/>
    </xf>
    <xf numFmtId="166" fontId="7" fillId="6" borderId="14" xfId="2" applyNumberFormat="1" applyFont="1" applyFill="1" applyBorder="1" applyAlignment="1">
      <alignment horizontal="right" vertical="center"/>
    </xf>
    <xf numFmtId="0" fontId="14" fillId="2" borderId="6" xfId="3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left" vertical="center"/>
    </xf>
    <xf numFmtId="166" fontId="7" fillId="6" borderId="6" xfId="2" applyNumberFormat="1" applyFont="1" applyFill="1" applyBorder="1" applyAlignment="1">
      <alignment horizontal="right" vertical="center"/>
    </xf>
    <xf numFmtId="165" fontId="3" fillId="2" borderId="2" xfId="3" applyNumberFormat="1" applyFont="1" applyFill="1" applyBorder="1" applyAlignment="1">
      <alignment horizontal="center" vertical="center"/>
    </xf>
    <xf numFmtId="0" fontId="6" fillId="2" borderId="2" xfId="3" applyFill="1" applyBorder="1" applyAlignment="1">
      <alignment horizontal="center" vertical="center"/>
    </xf>
    <xf numFmtId="165" fontId="6" fillId="2" borderId="2" xfId="3" applyNumberFormat="1" applyFill="1" applyBorder="1" applyAlignment="1">
      <alignment horizontal="center" vertical="center"/>
    </xf>
    <xf numFmtId="0" fontId="7" fillId="6" borderId="15" xfId="1" applyFont="1" applyFill="1" applyBorder="1" applyAlignment="1">
      <alignment horizontal="left" vertical="center"/>
    </xf>
    <xf numFmtId="166" fontId="7" fillId="6" borderId="15" xfId="2" applyNumberFormat="1" applyFont="1" applyFill="1" applyBorder="1" applyAlignment="1">
      <alignment horizontal="right" vertical="center"/>
    </xf>
    <xf numFmtId="165" fontId="7" fillId="2" borderId="4" xfId="1" applyNumberFormat="1" applyFont="1" applyFill="1" applyBorder="1" applyAlignment="1">
      <alignment horizontal="center" vertical="center" wrapText="1"/>
    </xf>
    <xf numFmtId="165" fontId="7" fillId="2" borderId="6" xfId="1" applyNumberFormat="1" applyFont="1" applyFill="1" applyBorder="1" applyAlignment="1">
      <alignment horizontal="center" vertical="center" wrapText="1"/>
    </xf>
    <xf numFmtId="15" fontId="7" fillId="2" borderId="8" xfId="1" quotePrefix="1" applyNumberFormat="1" applyFont="1" applyFill="1" applyBorder="1" applyAlignment="1">
      <alignment horizontal="center" vertical="center"/>
    </xf>
    <xf numFmtId="0" fontId="6" fillId="2" borderId="8" xfId="3" applyFill="1" applyBorder="1" applyAlignment="1">
      <alignment horizontal="center" vertical="center"/>
    </xf>
    <xf numFmtId="165" fontId="7" fillId="2" borderId="8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7" fillId="2" borderId="6" xfId="1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164" fontId="9" fillId="2" borderId="6" xfId="2" applyFont="1" applyFill="1" applyBorder="1" applyAlignment="1">
      <alignment horizontal="right" vertical="center"/>
    </xf>
    <xf numFmtId="0" fontId="7" fillId="2" borderId="8" xfId="1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6" fillId="2" borderId="8" xfId="3" applyFill="1" applyBorder="1"/>
    <xf numFmtId="0" fontId="6" fillId="0" borderId="4" xfId="3" applyFill="1" applyBorder="1" applyAlignment="1">
      <alignment horizontal="center" vertical="center"/>
    </xf>
    <xf numFmtId="165" fontId="3" fillId="2" borderId="4" xfId="3" applyNumberFormat="1" applyFont="1" applyFill="1" applyBorder="1" applyAlignment="1">
      <alignment horizontal="center" vertical="center" wrapText="1"/>
    </xf>
    <xf numFmtId="0" fontId="6" fillId="2" borderId="10" xfId="3" applyFill="1" applyBorder="1" applyAlignment="1">
      <alignment horizontal="center" vertical="center"/>
    </xf>
    <xf numFmtId="165" fontId="3" fillId="2" borderId="6" xfId="3" applyNumberFormat="1" applyFont="1" applyFill="1" applyBorder="1" applyAlignment="1">
      <alignment horizontal="center" vertical="center" wrapText="1"/>
    </xf>
    <xf numFmtId="0" fontId="6" fillId="2" borderId="11" xfId="3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165" fontId="3" fillId="2" borderId="8" xfId="3" applyNumberFormat="1" applyFont="1" applyFill="1" applyBorder="1" applyAlignment="1">
      <alignment horizontal="center" vertical="center" wrapText="1"/>
    </xf>
    <xf numFmtId="0" fontId="8" fillId="0" borderId="6" xfId="0" applyFont="1" applyBorder="1"/>
    <xf numFmtId="0" fontId="9" fillId="0" borderId="6" xfId="0" applyFont="1" applyBorder="1" applyAlignment="1">
      <alignment horizontal="center"/>
    </xf>
    <xf numFmtId="2" fontId="7" fillId="2" borderId="4" xfId="3" applyNumberFormat="1" applyFont="1" applyFill="1" applyBorder="1" applyAlignment="1">
      <alignment vertical="center"/>
    </xf>
    <xf numFmtId="2" fontId="7" fillId="2" borderId="6" xfId="3" applyNumberFormat="1" applyFont="1" applyFill="1" applyBorder="1" applyAlignment="1">
      <alignment vertical="center"/>
    </xf>
    <xf numFmtId="2" fontId="7" fillId="2" borderId="8" xfId="3" applyNumberFormat="1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4" xfId="1" applyFont="1" applyFill="1" applyBorder="1" applyAlignment="1">
      <alignment vertical="center"/>
    </xf>
    <xf numFmtId="0" fontId="4" fillId="0" borderId="4" xfId="1" applyFont="1" applyFill="1" applyBorder="1" applyAlignment="1">
      <alignment horizontal="center" vertical="center"/>
    </xf>
    <xf numFmtId="164" fontId="25" fillId="2" borderId="4" xfId="2" applyFont="1" applyFill="1" applyBorder="1" applyAlignment="1">
      <alignment vertical="center"/>
    </xf>
    <xf numFmtId="15" fontId="7" fillId="0" borderId="4" xfId="1" applyNumberFormat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6" fillId="0" borderId="3" xfId="3" applyFill="1" applyBorder="1" applyAlignment="1">
      <alignment horizontal="center" vertical="center" wrapText="1"/>
    </xf>
    <xf numFmtId="165" fontId="9" fillId="2" borderId="4" xfId="1" applyNumberFormat="1" applyFont="1" applyFill="1" applyBorder="1" applyAlignment="1">
      <alignment horizontal="center" vertical="center" wrapText="1"/>
    </xf>
    <xf numFmtId="0" fontId="6" fillId="0" borderId="5" xfId="3" applyFill="1" applyBorder="1" applyAlignment="1">
      <alignment horizontal="center" vertical="center" wrapText="1"/>
    </xf>
    <xf numFmtId="164" fontId="25" fillId="2" borderId="8" xfId="2" applyFont="1" applyFill="1" applyBorder="1" applyAlignment="1">
      <alignment vertical="center"/>
    </xf>
    <xf numFmtId="0" fontId="6" fillId="0" borderId="7" xfId="3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2" borderId="0" xfId="3" applyFill="1" applyBorder="1"/>
  </cellXfs>
  <cellStyles count="5">
    <cellStyle name="Milliers 2" xfId="2"/>
    <cellStyle name="Normal" xfId="0" builtinId="0"/>
    <cellStyle name="Normal 2" xfId="1"/>
    <cellStyle name="Normal 3" xfId="3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TIONSSERVIC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formatique\Tableau%20de%20bord\Suivi%20des%20march&#233;s%20et%20contrats%20-%20S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SERVIC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és"/>
      <sheetName val="Contrat"/>
      <sheetName val="Orange"/>
      <sheetName val="SCC"/>
      <sheetName val="Maintenance sans contrat"/>
      <sheetName val="Marché à pass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abSelected="1" topLeftCell="A4" zoomScale="70" zoomScaleNormal="70" workbookViewId="0">
      <selection activeCell="B23" sqref="B23:B25"/>
    </sheetView>
  </sheetViews>
  <sheetFormatPr baseColWidth="10" defaultColWidth="11.375" defaultRowHeight="12.75"/>
  <cols>
    <col min="1" max="1" width="9.25" style="2" customWidth="1"/>
    <col min="2" max="2" width="35.125" style="2" customWidth="1"/>
    <col min="3" max="3" width="29.625" style="2" customWidth="1"/>
    <col min="4" max="4" width="26.875" style="2" customWidth="1"/>
    <col min="5" max="5" width="12.625" style="2" customWidth="1"/>
    <col min="6" max="6" width="12.125" style="2" customWidth="1"/>
    <col min="7" max="7" width="17" style="2" bestFit="1" customWidth="1"/>
    <col min="8" max="8" width="12" style="2" customWidth="1"/>
    <col min="9" max="9" width="16" style="2" bestFit="1" customWidth="1"/>
    <col min="10" max="10" width="19" style="220" customWidth="1"/>
    <col min="11" max="11" width="39" style="2" bestFit="1" customWidth="1"/>
    <col min="12" max="16384" width="11.375" style="2"/>
  </cols>
  <sheetData>
    <row r="1" spans="1:10" s="1" customFormat="1" ht="48" customHeight="1">
      <c r="A1" s="60" t="s">
        <v>0</v>
      </c>
      <c r="B1" s="60" t="s">
        <v>1</v>
      </c>
      <c r="C1" s="60" t="s">
        <v>2</v>
      </c>
      <c r="D1" s="61" t="s">
        <v>3</v>
      </c>
      <c r="E1" s="62" t="s">
        <v>40</v>
      </c>
      <c r="F1" s="63" t="s">
        <v>41</v>
      </c>
      <c r="G1" s="64" t="s">
        <v>4</v>
      </c>
      <c r="H1" s="65" t="s">
        <v>42</v>
      </c>
      <c r="I1" s="66" t="s">
        <v>43</v>
      </c>
      <c r="J1" s="67" t="s">
        <v>44</v>
      </c>
    </row>
    <row r="2" spans="1:10" s="3" customFormat="1" ht="12" customHeight="1">
      <c r="A2" s="68"/>
      <c r="B2" s="5" t="s">
        <v>45</v>
      </c>
      <c r="C2" s="6" t="s">
        <v>46</v>
      </c>
      <c r="D2" s="69">
        <f>2650*1.2</f>
        <v>3180</v>
      </c>
      <c r="E2" s="8">
        <v>39829</v>
      </c>
      <c r="F2" s="51">
        <v>115</v>
      </c>
      <c r="G2" s="25">
        <f>EDATE(E2,F2)-1</f>
        <v>43327</v>
      </c>
      <c r="H2" s="26">
        <f ca="1">IF(G2&gt;=TODAY(),DATEDIF(TODAY(),G2,"m"),0)</f>
        <v>0</v>
      </c>
      <c r="I2" s="4" t="s">
        <v>16</v>
      </c>
      <c r="J2" s="70"/>
    </row>
    <row r="3" spans="1:10" s="3" customFormat="1" ht="12" customHeight="1">
      <c r="A3" s="71"/>
      <c r="B3" s="27"/>
      <c r="C3" s="13" t="s">
        <v>47</v>
      </c>
      <c r="D3" s="72"/>
      <c r="E3" s="15"/>
      <c r="F3" s="54"/>
      <c r="G3" s="25"/>
      <c r="H3" s="26"/>
      <c r="I3" s="11"/>
      <c r="J3" s="73"/>
    </row>
    <row r="4" spans="1:10" s="3" customFormat="1" ht="12" customHeight="1">
      <c r="A4" s="74"/>
      <c r="B4" s="28"/>
      <c r="C4" s="20" t="s">
        <v>48</v>
      </c>
      <c r="D4" s="75"/>
      <c r="E4" s="22"/>
      <c r="F4" s="57"/>
      <c r="G4" s="25"/>
      <c r="H4" s="26"/>
      <c r="I4" s="18"/>
      <c r="J4" s="76"/>
    </row>
    <row r="5" spans="1:10" s="3" customFormat="1" ht="12" customHeight="1">
      <c r="A5" s="4" t="s">
        <v>49</v>
      </c>
      <c r="B5" s="5" t="s">
        <v>50</v>
      </c>
      <c r="C5" s="6" t="s">
        <v>51</v>
      </c>
      <c r="D5" s="77"/>
      <c r="E5" s="8">
        <v>41913</v>
      </c>
      <c r="F5" s="51">
        <v>60</v>
      </c>
      <c r="G5" s="25">
        <f>EDATE(E5,F5)-1</f>
        <v>43738</v>
      </c>
      <c r="H5" s="26">
        <f ca="1">IF(G5&gt;=TODAY(),DATEDIF(TODAY(),G5,"m"),0)</f>
        <v>2</v>
      </c>
      <c r="I5" s="78" t="s">
        <v>52</v>
      </c>
      <c r="J5" s="70"/>
    </row>
    <row r="6" spans="1:10" s="3" customFormat="1" ht="12" customHeight="1">
      <c r="A6" s="11"/>
      <c r="B6" s="27"/>
      <c r="C6" s="13" t="s">
        <v>53</v>
      </c>
      <c r="D6" s="77">
        <f>90000*1.2</f>
        <v>108000</v>
      </c>
      <c r="E6" s="15"/>
      <c r="F6" s="54"/>
      <c r="G6" s="25"/>
      <c r="H6" s="26"/>
      <c r="I6" s="79"/>
      <c r="J6" s="80"/>
    </row>
    <row r="7" spans="1:10" s="3" customFormat="1" ht="12" customHeight="1">
      <c r="A7" s="18"/>
      <c r="B7" s="28"/>
      <c r="C7" s="20" t="s">
        <v>54</v>
      </c>
      <c r="D7" s="77"/>
      <c r="E7" s="22"/>
      <c r="F7" s="57"/>
      <c r="G7" s="25"/>
      <c r="H7" s="26"/>
      <c r="I7" s="81"/>
      <c r="J7" s="82"/>
    </row>
    <row r="8" spans="1:10" s="3" customFormat="1" ht="12" customHeight="1">
      <c r="A8" s="4" t="s">
        <v>55</v>
      </c>
      <c r="B8" s="5" t="s">
        <v>56</v>
      </c>
      <c r="C8" s="6" t="s">
        <v>57</v>
      </c>
      <c r="D8" s="24">
        <f>1916.4*1.2</f>
        <v>2299.6799999999998</v>
      </c>
      <c r="E8" s="8">
        <v>38869</v>
      </c>
      <c r="F8" s="51">
        <f>139+12+12</f>
        <v>163</v>
      </c>
      <c r="G8" s="25">
        <f>EDATE(E8,F8)-1</f>
        <v>43830</v>
      </c>
      <c r="H8" s="26">
        <f ca="1">IF(G8&gt;=TODAY(),DATEDIF(TODAY(),G8,"m"),0)</f>
        <v>5</v>
      </c>
      <c r="I8" s="83" t="s">
        <v>58</v>
      </c>
      <c r="J8" s="70"/>
    </row>
    <row r="9" spans="1:10" s="3" customFormat="1" ht="12" customHeight="1">
      <c r="A9" s="11"/>
      <c r="B9" s="27"/>
      <c r="C9" s="13" t="s">
        <v>59</v>
      </c>
      <c r="D9" s="14"/>
      <c r="E9" s="15"/>
      <c r="F9" s="54"/>
      <c r="G9" s="25"/>
      <c r="H9" s="26"/>
      <c r="I9" s="84"/>
      <c r="J9" s="80"/>
    </row>
    <row r="10" spans="1:10" s="3" customFormat="1" ht="12" customHeight="1">
      <c r="A10" s="18"/>
      <c r="B10" s="28"/>
      <c r="C10" s="20" t="s">
        <v>60</v>
      </c>
      <c r="D10" s="21"/>
      <c r="E10" s="22"/>
      <c r="F10" s="57"/>
      <c r="G10" s="25"/>
      <c r="H10" s="26"/>
      <c r="I10" s="85"/>
      <c r="J10" s="82"/>
    </row>
    <row r="11" spans="1:10" s="3" customFormat="1" ht="12" customHeight="1">
      <c r="A11" s="86" t="s">
        <v>61</v>
      </c>
      <c r="B11" s="87" t="s">
        <v>62</v>
      </c>
      <c r="C11" s="6" t="s">
        <v>63</v>
      </c>
      <c r="D11" s="24"/>
      <c r="E11" s="8">
        <v>42005</v>
      </c>
      <c r="F11" s="51">
        <v>60</v>
      </c>
      <c r="G11" s="88">
        <f>EDATE(E11,F11)-1</f>
        <v>43830</v>
      </c>
      <c r="H11" s="78">
        <f ca="1">IF(G11&gt;=TODAY(),DATEDIF(TODAY(),G11,"m"),0)</f>
        <v>5</v>
      </c>
      <c r="I11" s="78" t="s">
        <v>52</v>
      </c>
      <c r="J11" s="70"/>
    </row>
    <row r="12" spans="1:10" s="3" customFormat="1" ht="12" customHeight="1">
      <c r="A12" s="89"/>
      <c r="B12" s="90" t="s">
        <v>64</v>
      </c>
      <c r="C12" s="13" t="s">
        <v>65</v>
      </c>
      <c r="D12" s="14">
        <f>2782.07*1.2</f>
        <v>3338.4839999999999</v>
      </c>
      <c r="E12" s="15"/>
      <c r="F12" s="54"/>
      <c r="G12" s="91"/>
      <c r="H12" s="79"/>
      <c r="I12" s="79"/>
      <c r="J12" s="73"/>
    </row>
    <row r="13" spans="1:10" s="3" customFormat="1" ht="12" customHeight="1">
      <c r="A13" s="89"/>
      <c r="B13" s="90" t="s">
        <v>66</v>
      </c>
      <c r="C13" s="13" t="s">
        <v>67</v>
      </c>
      <c r="D13" s="14"/>
      <c r="E13" s="15"/>
      <c r="F13" s="54"/>
      <c r="G13" s="91"/>
      <c r="H13" s="79"/>
      <c r="I13" s="79"/>
      <c r="J13" s="73"/>
    </row>
    <row r="14" spans="1:10" s="3" customFormat="1" ht="12" customHeight="1">
      <c r="A14" s="92"/>
      <c r="B14" s="93" t="s">
        <v>68</v>
      </c>
      <c r="C14" s="94" t="s">
        <v>69</v>
      </c>
      <c r="D14" s="21"/>
      <c r="E14" s="22"/>
      <c r="F14" s="57"/>
      <c r="G14" s="95"/>
      <c r="H14" s="81"/>
      <c r="I14" s="81"/>
      <c r="J14" s="76"/>
    </row>
    <row r="15" spans="1:10" s="3" customFormat="1" ht="12" customHeight="1">
      <c r="A15" s="4" t="s">
        <v>70</v>
      </c>
      <c r="B15" s="87"/>
      <c r="C15" s="6" t="s">
        <v>9</v>
      </c>
      <c r="D15" s="96" t="s">
        <v>71</v>
      </c>
      <c r="E15" s="8">
        <v>42130</v>
      </c>
      <c r="F15" s="51">
        <v>60</v>
      </c>
      <c r="G15" s="25">
        <f>EDATE(E15,F15)-1</f>
        <v>43956</v>
      </c>
      <c r="H15" s="26">
        <f ca="1">IF(G15&gt;=TODAY(),DATEDIF(TODAY(),G15,"m"),0)</f>
        <v>10</v>
      </c>
      <c r="I15" s="78" t="s">
        <v>52</v>
      </c>
      <c r="J15" s="70"/>
    </row>
    <row r="16" spans="1:10" s="3" customFormat="1" ht="12" customHeight="1">
      <c r="A16" s="11"/>
      <c r="B16" s="90"/>
      <c r="C16" s="97"/>
      <c r="D16" s="72">
        <f>665.01*1.2</f>
        <v>798.01199999999994</v>
      </c>
      <c r="E16" s="15"/>
      <c r="F16" s="54"/>
      <c r="G16" s="25"/>
      <c r="H16" s="26"/>
      <c r="I16" s="79"/>
      <c r="J16" s="80"/>
    </row>
    <row r="17" spans="1:10" s="3" customFormat="1" ht="12" customHeight="1">
      <c r="A17" s="11"/>
      <c r="B17" s="90" t="s">
        <v>72</v>
      </c>
      <c r="C17" s="13" t="s">
        <v>10</v>
      </c>
      <c r="D17" s="98" t="s">
        <v>73</v>
      </c>
      <c r="E17" s="15"/>
      <c r="F17" s="54"/>
      <c r="G17" s="25"/>
      <c r="H17" s="26"/>
      <c r="I17" s="79"/>
      <c r="J17" s="80"/>
    </row>
    <row r="18" spans="1:10" s="3" customFormat="1" ht="12" customHeight="1">
      <c r="A18" s="11"/>
      <c r="B18" s="90"/>
      <c r="C18" s="13"/>
      <c r="D18" s="72">
        <f>11392.95*1.2</f>
        <v>13671.54</v>
      </c>
      <c r="E18" s="15"/>
      <c r="F18" s="54"/>
      <c r="G18" s="25"/>
      <c r="H18" s="26"/>
      <c r="I18" s="79"/>
      <c r="J18" s="80"/>
    </row>
    <row r="19" spans="1:10" s="3" customFormat="1" ht="12" customHeight="1">
      <c r="A19" s="18"/>
      <c r="B19" s="93"/>
      <c r="C19" s="94" t="s">
        <v>11</v>
      </c>
      <c r="D19" s="99"/>
      <c r="E19" s="22"/>
      <c r="F19" s="57"/>
      <c r="G19" s="25"/>
      <c r="H19" s="26"/>
      <c r="I19" s="81"/>
      <c r="J19" s="82"/>
    </row>
    <row r="20" spans="1:10" s="3" customFormat="1" ht="12" customHeight="1">
      <c r="A20" s="78" t="s">
        <v>28</v>
      </c>
      <c r="B20" s="100"/>
      <c r="C20" s="101" t="s">
        <v>74</v>
      </c>
      <c r="D20" s="102" t="s">
        <v>75</v>
      </c>
      <c r="E20" s="103">
        <v>42492</v>
      </c>
      <c r="F20" s="51">
        <v>48</v>
      </c>
      <c r="G20" s="25">
        <f>EDATE(E20,F20)-1</f>
        <v>43952</v>
      </c>
      <c r="H20" s="26">
        <f ca="1">IF(G20&gt;=TODAY(),DATEDIF(TODAY(),G20,"m"),0)</f>
        <v>9</v>
      </c>
      <c r="I20" s="78" t="s">
        <v>52</v>
      </c>
      <c r="J20" s="104" t="s">
        <v>76</v>
      </c>
    </row>
    <row r="21" spans="1:10" s="3" customFormat="1" ht="12" customHeight="1">
      <c r="A21" s="79"/>
      <c r="B21" s="105" t="s">
        <v>77</v>
      </c>
      <c r="C21" s="106" t="s">
        <v>78</v>
      </c>
      <c r="D21" s="77" t="s">
        <v>79</v>
      </c>
      <c r="E21" s="107"/>
      <c r="F21" s="54"/>
      <c r="G21" s="25"/>
      <c r="H21" s="26"/>
      <c r="I21" s="79"/>
      <c r="J21" s="80"/>
    </row>
    <row r="22" spans="1:10" s="3" customFormat="1" ht="12" customHeight="1">
      <c r="A22" s="81"/>
      <c r="B22" s="108"/>
      <c r="C22" s="109" t="s">
        <v>80</v>
      </c>
      <c r="D22" s="110">
        <f>2624.76*2</f>
        <v>5249.52</v>
      </c>
      <c r="E22" s="111"/>
      <c r="F22" s="57"/>
      <c r="G22" s="25"/>
      <c r="H22" s="26"/>
      <c r="I22" s="81"/>
      <c r="J22" s="82"/>
    </row>
    <row r="23" spans="1:10" s="3" customFormat="1" ht="12" customHeight="1">
      <c r="A23" s="4" t="s">
        <v>81</v>
      </c>
      <c r="B23" s="5" t="s">
        <v>82</v>
      </c>
      <c r="C23" s="112" t="s">
        <v>5</v>
      </c>
      <c r="D23" s="29"/>
      <c r="E23" s="8">
        <v>42736</v>
      </c>
      <c r="F23" s="9">
        <v>48</v>
      </c>
      <c r="G23" s="25">
        <f>EDATE(E23,F23)-1</f>
        <v>44196</v>
      </c>
      <c r="H23" s="26">
        <f ca="1">IF(G23&gt;=TODAY(),DATEDIF(TODAY(),G23,"m"),0)</f>
        <v>17</v>
      </c>
      <c r="I23" s="78" t="s">
        <v>52</v>
      </c>
      <c r="J23" s="113"/>
    </row>
    <row r="24" spans="1:10" s="3" customFormat="1" ht="12" customHeight="1">
      <c r="A24" s="11"/>
      <c r="B24" s="12"/>
      <c r="C24" s="114" t="s">
        <v>6</v>
      </c>
      <c r="D24" s="31">
        <f>2314.99*1.2</f>
        <v>2777.9879999999998</v>
      </c>
      <c r="E24" s="15"/>
      <c r="F24" s="16"/>
      <c r="G24" s="25"/>
      <c r="H24" s="26"/>
      <c r="I24" s="79"/>
      <c r="J24" s="115"/>
    </row>
    <row r="25" spans="1:10" s="3" customFormat="1" ht="12" customHeight="1">
      <c r="A25" s="18"/>
      <c r="B25" s="19"/>
      <c r="C25" s="20" t="s">
        <v>7</v>
      </c>
      <c r="D25" s="33"/>
      <c r="E25" s="22"/>
      <c r="F25" s="23"/>
      <c r="G25" s="25"/>
      <c r="H25" s="26"/>
      <c r="I25" s="81"/>
      <c r="J25" s="116"/>
    </row>
    <row r="26" spans="1:10" s="3" customFormat="1" ht="12" customHeight="1">
      <c r="A26" s="4" t="s">
        <v>83</v>
      </c>
      <c r="B26" s="117" t="s">
        <v>84</v>
      </c>
      <c r="C26" s="97" t="s">
        <v>9</v>
      </c>
      <c r="D26" s="7"/>
      <c r="E26" s="8">
        <v>42736</v>
      </c>
      <c r="F26" s="9">
        <v>60</v>
      </c>
      <c r="G26" s="25">
        <f>EDATE(E26,F26)-1</f>
        <v>44561</v>
      </c>
      <c r="H26" s="118">
        <f ca="1">IF(G26&gt;=TODAY(),DATEDIF(TODAY(),G26,"m"),0)</f>
        <v>29</v>
      </c>
      <c r="I26" s="78" t="s">
        <v>52</v>
      </c>
      <c r="J26" s="115"/>
    </row>
    <row r="27" spans="1:10" s="3" customFormat="1" ht="12" customHeight="1">
      <c r="A27" s="11"/>
      <c r="B27" s="119" t="s">
        <v>85</v>
      </c>
      <c r="C27" s="13" t="s">
        <v>10</v>
      </c>
      <c r="D27" s="120">
        <f>(2231.43+1798.56+1200)*1.2</f>
        <v>6275.9879999999994</v>
      </c>
      <c r="E27" s="15"/>
      <c r="F27" s="16"/>
      <c r="G27" s="25"/>
      <c r="H27" s="118"/>
      <c r="I27" s="79"/>
      <c r="J27" s="115"/>
    </row>
    <row r="28" spans="1:10" s="3" customFormat="1" ht="12" customHeight="1">
      <c r="A28" s="18"/>
      <c r="B28" s="121" t="s">
        <v>86</v>
      </c>
      <c r="C28" s="94" t="s">
        <v>11</v>
      </c>
      <c r="D28" s="122"/>
      <c r="E28" s="22"/>
      <c r="F28" s="23"/>
      <c r="G28" s="25"/>
      <c r="H28" s="118"/>
      <c r="I28" s="81"/>
      <c r="J28" s="116"/>
    </row>
    <row r="29" spans="1:10" s="3" customFormat="1" ht="12" customHeight="1">
      <c r="A29" s="4" t="s">
        <v>87</v>
      </c>
      <c r="B29" s="117"/>
      <c r="C29" s="97" t="s">
        <v>9</v>
      </c>
      <c r="D29" s="123"/>
      <c r="E29" s="8">
        <v>42736</v>
      </c>
      <c r="F29" s="9">
        <v>60</v>
      </c>
      <c r="G29" s="25">
        <f>EDATE(E29,F29)-1</f>
        <v>44561</v>
      </c>
      <c r="H29" s="118">
        <f ca="1">IF(G29&gt;=TODAY(),DATEDIF(TODAY(),G29,"m"),0)</f>
        <v>29</v>
      </c>
      <c r="I29" s="78" t="s">
        <v>52</v>
      </c>
      <c r="J29" s="115"/>
    </row>
    <row r="30" spans="1:10" s="3" customFormat="1" ht="12" customHeight="1">
      <c r="A30" s="11"/>
      <c r="B30" s="119" t="s">
        <v>88</v>
      </c>
      <c r="C30" s="13" t="s">
        <v>10</v>
      </c>
      <c r="D30" s="31">
        <f>1176.94*1.2</f>
        <v>1412.328</v>
      </c>
      <c r="E30" s="15"/>
      <c r="F30" s="16"/>
      <c r="G30" s="25"/>
      <c r="H30" s="118"/>
      <c r="I30" s="79"/>
      <c r="J30" s="115"/>
    </row>
    <row r="31" spans="1:10" s="3" customFormat="1" ht="12" customHeight="1">
      <c r="A31" s="18"/>
      <c r="B31" s="121" t="s">
        <v>89</v>
      </c>
      <c r="C31" s="94" t="s">
        <v>11</v>
      </c>
      <c r="D31" s="33"/>
      <c r="E31" s="22"/>
      <c r="F31" s="23"/>
      <c r="G31" s="25"/>
      <c r="H31" s="118"/>
      <c r="I31" s="81"/>
      <c r="J31" s="116"/>
    </row>
    <row r="32" spans="1:10" s="3" customFormat="1" ht="12" customHeight="1">
      <c r="A32" s="4" t="s">
        <v>90</v>
      </c>
      <c r="B32" s="117" t="s">
        <v>91</v>
      </c>
      <c r="C32" s="6" t="s">
        <v>92</v>
      </c>
      <c r="D32" s="96" t="s">
        <v>93</v>
      </c>
      <c r="E32" s="8">
        <v>43080</v>
      </c>
      <c r="F32" s="9">
        <v>48</v>
      </c>
      <c r="G32" s="25">
        <f>EDATE(E32,F32)-1</f>
        <v>44540</v>
      </c>
      <c r="H32" s="118">
        <f ca="1">IF(G32&gt;=TODAY(),DATEDIF(TODAY(),G32,"m"),0)</f>
        <v>29</v>
      </c>
      <c r="I32" s="78" t="s">
        <v>52</v>
      </c>
      <c r="J32" s="70"/>
    </row>
    <row r="33" spans="1:10" s="3" customFormat="1" ht="12" customHeight="1">
      <c r="A33" s="11"/>
      <c r="B33" s="119" t="s">
        <v>94</v>
      </c>
      <c r="C33" s="13" t="s">
        <v>95</v>
      </c>
      <c r="D33" s="31">
        <f>4550*1.2+450</f>
        <v>5910</v>
      </c>
      <c r="E33" s="15"/>
      <c r="F33" s="16"/>
      <c r="G33" s="25"/>
      <c r="H33" s="118"/>
      <c r="I33" s="79"/>
      <c r="J33" s="80"/>
    </row>
    <row r="34" spans="1:10" s="3" customFormat="1" ht="12" customHeight="1">
      <c r="A34" s="18"/>
      <c r="B34" s="121"/>
      <c r="C34" s="20" t="s">
        <v>96</v>
      </c>
      <c r="D34" s="33" t="s">
        <v>97</v>
      </c>
      <c r="E34" s="22"/>
      <c r="F34" s="23"/>
      <c r="G34" s="25"/>
      <c r="H34" s="118"/>
      <c r="I34" s="81"/>
      <c r="J34" s="82"/>
    </row>
    <row r="35" spans="1:10" s="3" customFormat="1" ht="15" customHeight="1">
      <c r="A35" s="86" t="s">
        <v>98</v>
      </c>
      <c r="B35" s="5" t="s">
        <v>18</v>
      </c>
      <c r="C35" s="6" t="s">
        <v>19</v>
      </c>
      <c r="D35" s="7" t="s">
        <v>20</v>
      </c>
      <c r="E35" s="8">
        <v>43101</v>
      </c>
      <c r="F35" s="9">
        <v>36</v>
      </c>
      <c r="G35" s="25">
        <f>EDATE(E35,F35)-1</f>
        <v>44196</v>
      </c>
      <c r="H35" s="26">
        <f ca="1">IF(G35&gt;=TODAY(),DATEDIF(TODAY(),G35,"m"),0)</f>
        <v>17</v>
      </c>
      <c r="I35" s="78" t="s">
        <v>52</v>
      </c>
      <c r="J35" s="124" t="s">
        <v>99</v>
      </c>
    </row>
    <row r="36" spans="1:10" s="3" customFormat="1" ht="15" customHeight="1">
      <c r="A36" s="89"/>
      <c r="B36" s="53"/>
      <c r="C36" s="13" t="s">
        <v>21</v>
      </c>
      <c r="D36" s="125" t="s">
        <v>22</v>
      </c>
      <c r="E36" s="15"/>
      <c r="F36" s="16"/>
      <c r="G36" s="25"/>
      <c r="H36" s="26"/>
      <c r="I36" s="79"/>
      <c r="J36" s="126"/>
    </row>
    <row r="37" spans="1:10" s="3" customFormat="1" ht="15" customHeight="1">
      <c r="A37" s="89"/>
      <c r="B37" s="53"/>
      <c r="C37" s="13" t="s">
        <v>23</v>
      </c>
      <c r="D37" s="125"/>
      <c r="E37" s="15"/>
      <c r="F37" s="16"/>
      <c r="G37" s="25"/>
      <c r="H37" s="26"/>
      <c r="I37" s="79"/>
      <c r="J37" s="126"/>
    </row>
    <row r="38" spans="1:10" s="3" customFormat="1" ht="15" customHeight="1">
      <c r="A38" s="92"/>
      <c r="B38" s="56"/>
      <c r="C38" s="94" t="s">
        <v>24</v>
      </c>
      <c r="D38" s="127">
        <f>(2067.25+181.45)*1.2</f>
        <v>2698.4399999999996</v>
      </c>
      <c r="E38" s="22"/>
      <c r="F38" s="23"/>
      <c r="G38" s="25"/>
      <c r="H38" s="26"/>
      <c r="I38" s="81"/>
      <c r="J38" s="128"/>
    </row>
    <row r="39" spans="1:10" s="3" customFormat="1" ht="15" customHeight="1">
      <c r="A39" s="4" t="s">
        <v>100</v>
      </c>
      <c r="B39" s="129"/>
      <c r="C39" s="97" t="s">
        <v>101</v>
      </c>
      <c r="D39" s="125"/>
      <c r="E39" s="8">
        <v>43129</v>
      </c>
      <c r="F39" s="9">
        <v>12</v>
      </c>
      <c r="G39" s="25">
        <f>EDATE(E39,F39)-1</f>
        <v>43493</v>
      </c>
      <c r="H39" s="118">
        <f ca="1">IF(G39&gt;=TODAY(),DATEDIF(TODAY(),G39,"m"),0)</f>
        <v>0</v>
      </c>
      <c r="I39" s="130"/>
      <c r="J39" s="52" t="s">
        <v>102</v>
      </c>
    </row>
    <row r="40" spans="1:10" s="3" customFormat="1" ht="15" customHeight="1">
      <c r="A40" s="11"/>
      <c r="B40" s="129" t="s">
        <v>103</v>
      </c>
      <c r="C40" s="13" t="s">
        <v>104</v>
      </c>
      <c r="D40" s="131">
        <f>1590*1.2</f>
        <v>1908</v>
      </c>
      <c r="E40" s="15"/>
      <c r="F40" s="16"/>
      <c r="G40" s="25"/>
      <c r="H40" s="118"/>
      <c r="I40" s="132"/>
      <c r="J40" s="55"/>
    </row>
    <row r="41" spans="1:10" s="3" customFormat="1" ht="15" customHeight="1">
      <c r="A41" s="18"/>
      <c r="B41" s="133"/>
      <c r="C41" s="94" t="s">
        <v>105</v>
      </c>
      <c r="D41" s="127"/>
      <c r="E41" s="22"/>
      <c r="F41" s="23"/>
      <c r="G41" s="25"/>
      <c r="H41" s="118"/>
      <c r="I41" s="134"/>
      <c r="J41" s="58"/>
    </row>
    <row r="42" spans="1:10" s="3" customFormat="1" ht="15" customHeight="1">
      <c r="A42" s="4" t="s">
        <v>106</v>
      </c>
      <c r="B42" s="50" t="s">
        <v>107</v>
      </c>
      <c r="C42" s="97" t="s">
        <v>108</v>
      </c>
      <c r="D42" s="125"/>
      <c r="E42" s="8">
        <v>43129</v>
      </c>
      <c r="F42" s="9">
        <v>48</v>
      </c>
      <c r="G42" s="25">
        <f>EDATE(E42,F42)-1</f>
        <v>44589</v>
      </c>
      <c r="H42" s="118">
        <f ca="1">IF(G42&gt;=TODAY(),DATEDIF(TODAY(),G42,"m"),0)</f>
        <v>30</v>
      </c>
      <c r="I42" s="135" t="s">
        <v>52</v>
      </c>
      <c r="J42" s="136"/>
    </row>
    <row r="43" spans="1:10" s="3" customFormat="1" ht="15" customHeight="1">
      <c r="A43" s="11"/>
      <c r="B43" s="53"/>
      <c r="C43" s="13" t="s">
        <v>109</v>
      </c>
      <c r="D43" s="131">
        <f>3790*1.2</f>
        <v>4548</v>
      </c>
      <c r="E43" s="15"/>
      <c r="F43" s="16"/>
      <c r="G43" s="25"/>
      <c r="H43" s="118"/>
      <c r="I43" s="137"/>
      <c r="J43" s="136"/>
    </row>
    <row r="44" spans="1:10" s="3" customFormat="1" ht="15" customHeight="1">
      <c r="A44" s="18"/>
      <c r="B44" s="56"/>
      <c r="C44" s="13" t="s">
        <v>110</v>
      </c>
      <c r="D44" s="125"/>
      <c r="E44" s="22"/>
      <c r="F44" s="23"/>
      <c r="G44" s="25"/>
      <c r="H44" s="118"/>
      <c r="I44" s="138"/>
      <c r="J44" s="136"/>
    </row>
    <row r="45" spans="1:10">
      <c r="A45" s="4" t="s">
        <v>111</v>
      </c>
      <c r="B45" s="5" t="s">
        <v>25</v>
      </c>
      <c r="C45" s="6" t="s">
        <v>26</v>
      </c>
      <c r="D45" s="24">
        <v>6154.85</v>
      </c>
      <c r="E45" s="8">
        <v>43101</v>
      </c>
      <c r="F45" s="51">
        <v>36</v>
      </c>
      <c r="G45" s="25">
        <f>EDATE(E45,F45)-1</f>
        <v>44196</v>
      </c>
      <c r="H45" s="26">
        <f ca="1">IF(G45&gt;=TODAY(),DATEDIF(TODAY(),G45,"m"),0)</f>
        <v>17</v>
      </c>
      <c r="I45" s="135" t="s">
        <v>52</v>
      </c>
      <c r="J45" s="139" t="s">
        <v>8</v>
      </c>
    </row>
    <row r="46" spans="1:10" ht="12.75" customHeight="1">
      <c r="A46" s="11"/>
      <c r="B46" s="53"/>
      <c r="C46" s="13" t="s">
        <v>112</v>
      </c>
      <c r="D46" s="14"/>
      <c r="E46" s="15"/>
      <c r="F46" s="54"/>
      <c r="G46" s="25"/>
      <c r="H46" s="26"/>
      <c r="I46" s="137"/>
      <c r="J46" s="73"/>
    </row>
    <row r="47" spans="1:10" ht="12.75" customHeight="1">
      <c r="A47" s="18"/>
      <c r="B47" s="56"/>
      <c r="C47" s="94" t="s">
        <v>113</v>
      </c>
      <c r="D47" s="21"/>
      <c r="E47" s="22"/>
      <c r="F47" s="57"/>
      <c r="G47" s="25"/>
      <c r="H47" s="26"/>
      <c r="I47" s="138"/>
      <c r="J47" s="76"/>
    </row>
    <row r="48" spans="1:10" s="3" customFormat="1" ht="12" customHeight="1">
      <c r="A48" s="4" t="s">
        <v>114</v>
      </c>
      <c r="B48" s="5" t="s">
        <v>27</v>
      </c>
      <c r="C48" s="6" t="s">
        <v>26</v>
      </c>
      <c r="D48" s="24">
        <f>(1700.86+324)*1.2</f>
        <v>2429.8319999999999</v>
      </c>
      <c r="E48" s="8">
        <v>43101</v>
      </c>
      <c r="F48" s="51">
        <v>36</v>
      </c>
      <c r="G48" s="25">
        <f>EDATE(E48,F48)-1</f>
        <v>44196</v>
      </c>
      <c r="H48" s="26">
        <f ca="1">IF(G48&gt;=TODAY(),DATEDIF(TODAY(),G48,"m"),0)</f>
        <v>17</v>
      </c>
      <c r="I48" s="135" t="s">
        <v>52</v>
      </c>
      <c r="J48" s="139"/>
    </row>
    <row r="49" spans="1:11" s="3" customFormat="1" ht="12" customHeight="1">
      <c r="A49" s="11"/>
      <c r="B49" s="53"/>
      <c r="C49" s="13" t="s">
        <v>112</v>
      </c>
      <c r="D49" s="14"/>
      <c r="E49" s="15"/>
      <c r="F49" s="54"/>
      <c r="G49" s="25"/>
      <c r="H49" s="26"/>
      <c r="I49" s="137"/>
      <c r="J49" s="73"/>
    </row>
    <row r="50" spans="1:11" s="3" customFormat="1" ht="12" customHeight="1">
      <c r="A50" s="18"/>
      <c r="B50" s="56"/>
      <c r="C50" s="94" t="s">
        <v>113</v>
      </c>
      <c r="D50" s="21"/>
      <c r="E50" s="22"/>
      <c r="F50" s="57"/>
      <c r="G50" s="25"/>
      <c r="H50" s="26"/>
      <c r="I50" s="138"/>
      <c r="J50" s="76"/>
    </row>
    <row r="51" spans="1:11" s="3" customFormat="1" ht="12" customHeight="1">
      <c r="A51" s="4" t="s">
        <v>115</v>
      </c>
      <c r="B51" s="129" t="s">
        <v>116</v>
      </c>
      <c r="C51" s="97" t="s">
        <v>117</v>
      </c>
      <c r="D51" s="14"/>
      <c r="E51" s="8">
        <v>43101</v>
      </c>
      <c r="F51" s="51">
        <v>36</v>
      </c>
      <c r="G51" s="25">
        <f>EDATE(E51,F51)-1</f>
        <v>44196</v>
      </c>
      <c r="H51" s="26">
        <f ca="1">IF(G51&gt;=TODAY(),DATEDIF(TODAY(),G51,"m"),0)</f>
        <v>17</v>
      </c>
      <c r="I51" s="135" t="s">
        <v>52</v>
      </c>
      <c r="J51" s="52" t="s">
        <v>118</v>
      </c>
      <c r="K51" s="140"/>
    </row>
    <row r="52" spans="1:11" s="3" customFormat="1" ht="12" customHeight="1">
      <c r="A52" s="11"/>
      <c r="B52" s="129"/>
      <c r="C52" s="13" t="s">
        <v>119</v>
      </c>
      <c r="D52" s="14">
        <f>352.5*1.2</f>
        <v>423</v>
      </c>
      <c r="E52" s="15"/>
      <c r="F52" s="54"/>
      <c r="G52" s="25"/>
      <c r="H52" s="26"/>
      <c r="I52" s="137"/>
      <c r="J52" s="55"/>
      <c r="K52" s="140"/>
    </row>
    <row r="53" spans="1:11" s="3" customFormat="1" ht="12" customHeight="1">
      <c r="A53" s="18"/>
      <c r="B53" s="133"/>
      <c r="C53" s="94" t="s">
        <v>120</v>
      </c>
      <c r="D53" s="21"/>
      <c r="E53" s="22"/>
      <c r="F53" s="57"/>
      <c r="G53" s="25"/>
      <c r="H53" s="26"/>
      <c r="I53" s="138"/>
      <c r="J53" s="58"/>
      <c r="K53" s="140"/>
    </row>
    <row r="54" spans="1:11" s="3" customFormat="1" ht="12" customHeight="1">
      <c r="A54" s="34" t="s">
        <v>121</v>
      </c>
      <c r="B54" s="141" t="s">
        <v>122</v>
      </c>
      <c r="C54" s="112" t="s">
        <v>12</v>
      </c>
      <c r="D54" s="59"/>
      <c r="E54" s="37">
        <v>43282</v>
      </c>
      <c r="F54" s="38">
        <v>18</v>
      </c>
      <c r="G54" s="39">
        <f>EDATE(E54,F54)-1</f>
        <v>43830</v>
      </c>
      <c r="H54" s="40">
        <f ca="1">IF(G54&gt;=TODAY(),DATEDIF(TODAY(),G54,"m"),0)</f>
        <v>5</v>
      </c>
      <c r="I54" s="135" t="s">
        <v>52</v>
      </c>
      <c r="J54" s="142" t="s">
        <v>123</v>
      </c>
    </row>
    <row r="55" spans="1:11" s="3" customFormat="1" ht="12" customHeight="1">
      <c r="A55" s="34"/>
      <c r="B55" s="143"/>
      <c r="C55" s="114" t="s">
        <v>13</v>
      </c>
      <c r="D55" s="36">
        <f>5020*1.2</f>
        <v>6024</v>
      </c>
      <c r="E55" s="37"/>
      <c r="F55" s="38"/>
      <c r="G55" s="42"/>
      <c r="H55" s="43"/>
      <c r="I55" s="137"/>
      <c r="J55" s="144"/>
    </row>
    <row r="56" spans="1:11" s="3" customFormat="1" ht="12" customHeight="1">
      <c r="A56" s="44"/>
      <c r="B56" s="145"/>
      <c r="C56" s="146" t="s">
        <v>14</v>
      </c>
      <c r="D56" s="47"/>
      <c r="E56" s="48"/>
      <c r="F56" s="49"/>
      <c r="G56" s="42"/>
      <c r="H56" s="43"/>
      <c r="I56" s="138"/>
      <c r="J56" s="147"/>
    </row>
    <row r="57" spans="1:11" s="3" customFormat="1" ht="12" customHeight="1">
      <c r="A57" s="34" t="s">
        <v>124</v>
      </c>
      <c r="B57" s="141" t="s">
        <v>125</v>
      </c>
      <c r="C57" s="112" t="s">
        <v>126</v>
      </c>
      <c r="D57" s="59"/>
      <c r="E57" s="37">
        <v>43101</v>
      </c>
      <c r="F57" s="38">
        <f>12+48</f>
        <v>60</v>
      </c>
      <c r="G57" s="39">
        <f>EDATE(E57,F57)-1</f>
        <v>44926</v>
      </c>
      <c r="H57" s="40">
        <f ca="1">IF(G57&gt;=TODAY(),DATEDIF(TODAY(),G57,"m"),0)</f>
        <v>41</v>
      </c>
      <c r="I57" s="135" t="s">
        <v>52</v>
      </c>
      <c r="J57" s="148"/>
    </row>
    <row r="58" spans="1:11" s="3" customFormat="1" ht="12" customHeight="1">
      <c r="A58" s="34"/>
      <c r="B58" s="143"/>
      <c r="C58" s="114" t="s">
        <v>127</v>
      </c>
      <c r="D58" s="36">
        <v>572.4</v>
      </c>
      <c r="E58" s="37"/>
      <c r="F58" s="38"/>
      <c r="G58" s="42"/>
      <c r="H58" s="43"/>
      <c r="I58" s="137"/>
      <c r="J58" s="80"/>
    </row>
    <row r="59" spans="1:11" s="3" customFormat="1" ht="12" customHeight="1">
      <c r="A59" s="44"/>
      <c r="B59" s="145"/>
      <c r="C59" s="146" t="s">
        <v>128</v>
      </c>
      <c r="D59" s="47"/>
      <c r="E59" s="48"/>
      <c r="F59" s="49"/>
      <c r="G59" s="42"/>
      <c r="H59" s="43"/>
      <c r="I59" s="138"/>
      <c r="J59" s="82"/>
    </row>
    <row r="60" spans="1:11">
      <c r="A60" s="34" t="s">
        <v>129</v>
      </c>
      <c r="B60" s="141" t="s">
        <v>130</v>
      </c>
      <c r="C60" s="112" t="s">
        <v>74</v>
      </c>
      <c r="D60" s="59"/>
      <c r="E60" s="37">
        <v>43101</v>
      </c>
      <c r="F60" s="38">
        <v>48</v>
      </c>
      <c r="G60" s="39">
        <f>EDATE(E60,F60)-1</f>
        <v>44561</v>
      </c>
      <c r="H60" s="40">
        <f ca="1">IF(G60&gt;=TODAY(),DATEDIF(TODAY(),G60,"m"),0)</f>
        <v>29</v>
      </c>
      <c r="I60" s="135" t="s">
        <v>52</v>
      </c>
      <c r="J60" s="148"/>
    </row>
    <row r="61" spans="1:11" ht="12.75" customHeight="1">
      <c r="A61" s="34"/>
      <c r="B61" s="143"/>
      <c r="C61" s="114" t="s">
        <v>131</v>
      </c>
      <c r="D61" s="36">
        <v>8073.5</v>
      </c>
      <c r="E61" s="37"/>
      <c r="F61" s="38"/>
      <c r="G61" s="42"/>
      <c r="H61" s="43"/>
      <c r="I61" s="137"/>
      <c r="J61" s="80"/>
    </row>
    <row r="62" spans="1:11" ht="12.75" customHeight="1">
      <c r="A62" s="34"/>
      <c r="B62" s="143"/>
      <c r="C62" s="114" t="s">
        <v>132</v>
      </c>
      <c r="D62" s="149"/>
      <c r="E62" s="48"/>
      <c r="F62" s="49"/>
      <c r="G62" s="42"/>
      <c r="H62" s="43"/>
      <c r="I62" s="138"/>
      <c r="J62" s="82"/>
    </row>
    <row r="63" spans="1:11" s="3" customFormat="1" ht="12" customHeight="1">
      <c r="A63" s="78" t="s">
        <v>133</v>
      </c>
      <c r="B63" s="150" t="s">
        <v>134</v>
      </c>
      <c r="C63" s="6" t="s">
        <v>9</v>
      </c>
      <c r="D63" s="151">
        <f>SUM(D64:D71)</f>
        <v>20941.439999999999</v>
      </c>
      <c r="E63" s="152">
        <v>43466</v>
      </c>
      <c r="F63" s="30">
        <v>60</v>
      </c>
      <c r="G63" s="153">
        <f t="shared" ref="G63:G81" si="0">EDATE(E63,F63)-1</f>
        <v>45291</v>
      </c>
      <c r="H63" s="30">
        <f t="shared" ref="H63:H81" ca="1" si="1">IF(G63&gt;=TODAY(),DATEDIF(TODAY(),G63,"m"),0)</f>
        <v>53</v>
      </c>
      <c r="I63" s="135" t="s">
        <v>52</v>
      </c>
      <c r="J63" s="154"/>
    </row>
    <row r="64" spans="1:11" s="3" customFormat="1" ht="12" customHeight="1">
      <c r="A64" s="79"/>
      <c r="B64" s="155" t="s">
        <v>135</v>
      </c>
      <c r="C64" s="156"/>
      <c r="D64" s="157">
        <v>401.2</v>
      </c>
      <c r="E64" s="152">
        <v>43466</v>
      </c>
      <c r="F64" s="30">
        <v>60</v>
      </c>
      <c r="G64" s="153">
        <f t="shared" si="0"/>
        <v>45291</v>
      </c>
      <c r="H64" s="30">
        <f t="shared" ca="1" si="1"/>
        <v>53</v>
      </c>
      <c r="I64" s="137"/>
      <c r="J64" s="159"/>
    </row>
    <row r="65" spans="1:12" s="3" customFormat="1" ht="12" customHeight="1">
      <c r="A65" s="79"/>
      <c r="B65" s="155" t="s">
        <v>136</v>
      </c>
      <c r="C65" s="97"/>
      <c r="D65" s="160">
        <v>1494.32</v>
      </c>
      <c r="E65" s="152">
        <v>43466</v>
      </c>
      <c r="F65" s="30">
        <v>60</v>
      </c>
      <c r="G65" s="153">
        <f t="shared" si="0"/>
        <v>45291</v>
      </c>
      <c r="H65" s="30">
        <f t="shared" ca="1" si="1"/>
        <v>53</v>
      </c>
      <c r="I65" s="137"/>
      <c r="J65" s="159"/>
    </row>
    <row r="66" spans="1:12" s="3" customFormat="1" ht="12" customHeight="1">
      <c r="A66" s="79"/>
      <c r="B66" s="161" t="s">
        <v>137</v>
      </c>
      <c r="C66" s="97"/>
      <c r="D66" s="160">
        <v>114.62</v>
      </c>
      <c r="E66" s="152">
        <v>43466</v>
      </c>
      <c r="F66" s="30">
        <v>60</v>
      </c>
      <c r="G66" s="153">
        <f t="shared" si="0"/>
        <v>45291</v>
      </c>
      <c r="H66" s="30">
        <f t="shared" ca="1" si="1"/>
        <v>53</v>
      </c>
      <c r="I66" s="137"/>
      <c r="J66" s="159"/>
    </row>
    <row r="67" spans="1:12" s="3" customFormat="1" ht="12" customHeight="1">
      <c r="A67" s="79"/>
      <c r="B67" s="161" t="s">
        <v>138</v>
      </c>
      <c r="C67" s="97"/>
      <c r="D67" s="160">
        <v>118.01</v>
      </c>
      <c r="E67" s="152">
        <v>43466</v>
      </c>
      <c r="F67" s="30">
        <v>60</v>
      </c>
      <c r="G67" s="153">
        <f t="shared" si="0"/>
        <v>45291</v>
      </c>
      <c r="H67" s="30">
        <f t="shared" ca="1" si="1"/>
        <v>53</v>
      </c>
      <c r="I67" s="137"/>
      <c r="J67" s="159"/>
      <c r="K67" s="162"/>
    </row>
    <row r="68" spans="1:12" s="3" customFormat="1" ht="12" customHeight="1">
      <c r="A68" s="79"/>
      <c r="B68" s="161" t="s">
        <v>139</v>
      </c>
      <c r="C68" s="163"/>
      <c r="D68" s="160">
        <v>363.02</v>
      </c>
      <c r="E68" s="152">
        <v>43466</v>
      </c>
      <c r="F68" s="30">
        <v>60</v>
      </c>
      <c r="G68" s="153">
        <f t="shared" si="0"/>
        <v>45291</v>
      </c>
      <c r="H68" s="30">
        <f t="shared" ca="1" si="1"/>
        <v>53</v>
      </c>
      <c r="I68" s="137"/>
      <c r="J68" s="159"/>
    </row>
    <row r="69" spans="1:12" s="3" customFormat="1" ht="12" customHeight="1">
      <c r="A69" s="79"/>
      <c r="B69" s="161" t="s">
        <v>140</v>
      </c>
      <c r="C69" s="97"/>
      <c r="D69" s="160">
        <v>17630.169999999998</v>
      </c>
      <c r="E69" s="152">
        <v>43466</v>
      </c>
      <c r="F69" s="30">
        <v>60</v>
      </c>
      <c r="G69" s="153">
        <f t="shared" si="0"/>
        <v>45291</v>
      </c>
      <c r="H69" s="30">
        <f t="shared" ca="1" si="1"/>
        <v>53</v>
      </c>
      <c r="I69" s="137"/>
      <c r="J69" s="159"/>
      <c r="L69" s="3" t="s">
        <v>8</v>
      </c>
    </row>
    <row r="70" spans="1:12" s="3" customFormat="1" ht="12" customHeight="1">
      <c r="A70" s="79"/>
      <c r="B70" s="155" t="s">
        <v>141</v>
      </c>
      <c r="C70" s="13"/>
      <c r="D70" s="160">
        <v>486.22</v>
      </c>
      <c r="E70" s="152">
        <v>43466</v>
      </c>
      <c r="F70" s="30">
        <v>60</v>
      </c>
      <c r="G70" s="153">
        <f t="shared" si="0"/>
        <v>45291</v>
      </c>
      <c r="H70" s="30">
        <f t="shared" ca="1" si="1"/>
        <v>53</v>
      </c>
      <c r="I70" s="137"/>
      <c r="J70" s="159"/>
    </row>
    <row r="71" spans="1:12" s="3" customFormat="1" ht="12" customHeight="1">
      <c r="A71" s="79"/>
      <c r="B71" s="161" t="s">
        <v>142</v>
      </c>
      <c r="C71" s="13"/>
      <c r="D71" s="160">
        <v>333.88</v>
      </c>
      <c r="E71" s="152">
        <v>43466</v>
      </c>
      <c r="F71" s="30">
        <v>60</v>
      </c>
      <c r="G71" s="153">
        <f t="shared" si="0"/>
        <v>45291</v>
      </c>
      <c r="H71" s="30">
        <f t="shared" ca="1" si="1"/>
        <v>53</v>
      </c>
      <c r="I71" s="137"/>
      <c r="J71" s="164"/>
    </row>
    <row r="72" spans="1:12" s="3" customFormat="1" ht="12" customHeight="1">
      <c r="A72" s="78" t="s">
        <v>143</v>
      </c>
      <c r="B72" s="165" t="s">
        <v>144</v>
      </c>
      <c r="C72" s="13" t="s">
        <v>10</v>
      </c>
      <c r="D72" s="166">
        <f>SUM(D73:D81)</f>
        <v>13238.73</v>
      </c>
      <c r="E72" s="152"/>
      <c r="F72" s="30"/>
      <c r="G72" s="153"/>
      <c r="H72" s="30">
        <f t="shared" ca="1" si="1"/>
        <v>0</v>
      </c>
      <c r="I72" s="137"/>
      <c r="J72" s="167"/>
    </row>
    <row r="73" spans="1:12" s="3" customFormat="1" ht="12" customHeight="1">
      <c r="A73" s="79"/>
      <c r="B73" s="168" t="s">
        <v>145</v>
      </c>
      <c r="C73" s="13"/>
      <c r="D73" s="169">
        <v>384.95</v>
      </c>
      <c r="E73" s="152">
        <v>43466</v>
      </c>
      <c r="F73" s="30">
        <v>36</v>
      </c>
      <c r="G73" s="153">
        <f t="shared" si="0"/>
        <v>44561</v>
      </c>
      <c r="H73" s="30">
        <f t="shared" ca="1" si="1"/>
        <v>29</v>
      </c>
      <c r="I73" s="137"/>
      <c r="J73" s="80"/>
    </row>
    <row r="74" spans="1:12" s="3" customFormat="1" ht="12" customHeight="1">
      <c r="A74" s="79"/>
      <c r="B74" s="168" t="s">
        <v>146</v>
      </c>
      <c r="C74" s="163"/>
      <c r="D74" s="169">
        <v>820.44</v>
      </c>
      <c r="E74" s="152">
        <v>43466</v>
      </c>
      <c r="F74" s="30">
        <v>36</v>
      </c>
      <c r="G74" s="153">
        <f t="shared" si="0"/>
        <v>44561</v>
      </c>
      <c r="H74" s="30">
        <f t="shared" ca="1" si="1"/>
        <v>29</v>
      </c>
      <c r="I74" s="137"/>
      <c r="J74" s="80"/>
    </row>
    <row r="75" spans="1:12" s="3" customFormat="1" ht="12" customHeight="1">
      <c r="A75" s="79"/>
      <c r="B75" s="168" t="s">
        <v>147</v>
      </c>
      <c r="C75" s="13"/>
      <c r="D75" s="169">
        <v>4932.91</v>
      </c>
      <c r="E75" s="152">
        <v>43466</v>
      </c>
      <c r="F75" s="30">
        <v>36</v>
      </c>
      <c r="G75" s="153">
        <f t="shared" si="0"/>
        <v>44561</v>
      </c>
      <c r="H75" s="30">
        <f t="shared" ca="1" si="1"/>
        <v>29</v>
      </c>
      <c r="I75" s="137"/>
      <c r="J75" s="80"/>
    </row>
    <row r="76" spans="1:12" s="3" customFormat="1" ht="12" customHeight="1">
      <c r="A76" s="79"/>
      <c r="B76" s="168" t="s">
        <v>148</v>
      </c>
      <c r="C76" s="13"/>
      <c r="D76" s="169">
        <v>820.44</v>
      </c>
      <c r="E76" s="152">
        <v>43466</v>
      </c>
      <c r="F76" s="30">
        <v>36</v>
      </c>
      <c r="G76" s="153">
        <f t="shared" si="0"/>
        <v>44561</v>
      </c>
      <c r="H76" s="30">
        <f t="shared" ca="1" si="1"/>
        <v>29</v>
      </c>
      <c r="I76" s="137"/>
      <c r="J76" s="80"/>
    </row>
    <row r="77" spans="1:12" s="3" customFormat="1" ht="12" customHeight="1">
      <c r="A77" s="79"/>
      <c r="B77" s="168" t="s">
        <v>149</v>
      </c>
      <c r="C77" s="13"/>
      <c r="D77" s="169">
        <v>2549.5100000000002</v>
      </c>
      <c r="E77" s="152">
        <v>43466</v>
      </c>
      <c r="F77" s="30">
        <v>36</v>
      </c>
      <c r="G77" s="153">
        <f t="shared" si="0"/>
        <v>44561</v>
      </c>
      <c r="H77" s="30">
        <f t="shared" ca="1" si="1"/>
        <v>29</v>
      </c>
      <c r="I77" s="137"/>
      <c r="J77" s="80"/>
    </row>
    <row r="78" spans="1:12" s="3" customFormat="1" ht="12" customHeight="1">
      <c r="A78" s="79"/>
      <c r="B78" s="170" t="s">
        <v>150</v>
      </c>
      <c r="C78" s="13"/>
      <c r="D78" s="171">
        <v>1686.79</v>
      </c>
      <c r="E78" s="152">
        <v>43466</v>
      </c>
      <c r="F78" s="30">
        <v>36</v>
      </c>
      <c r="G78" s="153">
        <f t="shared" si="0"/>
        <v>44561</v>
      </c>
      <c r="H78" s="30">
        <f t="shared" ca="1" si="1"/>
        <v>29</v>
      </c>
      <c r="I78" s="137"/>
      <c r="J78" s="80"/>
    </row>
    <row r="79" spans="1:12" s="3" customFormat="1" ht="12" customHeight="1">
      <c r="A79" s="79"/>
      <c r="B79" s="168" t="s">
        <v>151</v>
      </c>
      <c r="C79" s="13"/>
      <c r="D79" s="169">
        <v>348.46</v>
      </c>
      <c r="E79" s="152">
        <v>43466</v>
      </c>
      <c r="F79" s="30">
        <v>36</v>
      </c>
      <c r="G79" s="153">
        <f t="shared" si="0"/>
        <v>44561</v>
      </c>
      <c r="H79" s="30">
        <f t="shared" ca="1" si="1"/>
        <v>29</v>
      </c>
      <c r="I79" s="137"/>
      <c r="J79" s="172"/>
    </row>
    <row r="80" spans="1:12" s="3" customFormat="1" ht="12" customHeight="1">
      <c r="A80" s="79"/>
      <c r="B80" s="173" t="s">
        <v>152</v>
      </c>
      <c r="C80" s="13"/>
      <c r="D80" s="174">
        <v>1191.23</v>
      </c>
      <c r="E80" s="175">
        <v>43466</v>
      </c>
      <c r="F80" s="176">
        <v>36</v>
      </c>
      <c r="G80" s="177">
        <f t="shared" si="0"/>
        <v>44561</v>
      </c>
      <c r="H80" s="176">
        <f t="shared" ca="1" si="1"/>
        <v>29</v>
      </c>
      <c r="I80" s="137"/>
      <c r="J80" s="172"/>
    </row>
    <row r="81" spans="1:10" s="3" customFormat="1" ht="15.95" customHeight="1">
      <c r="A81" s="81"/>
      <c r="B81" s="178" t="s">
        <v>153</v>
      </c>
      <c r="C81" s="94" t="s">
        <v>11</v>
      </c>
      <c r="D81" s="179">
        <v>504</v>
      </c>
      <c r="E81" s="175">
        <v>43525</v>
      </c>
      <c r="F81" s="176">
        <v>34</v>
      </c>
      <c r="G81" s="177">
        <f t="shared" si="0"/>
        <v>44561</v>
      </c>
      <c r="H81" s="176">
        <f t="shared" ca="1" si="1"/>
        <v>29</v>
      </c>
      <c r="I81" s="138"/>
      <c r="J81" s="76"/>
    </row>
    <row r="82" spans="1:10" s="3" customFormat="1" ht="12" customHeight="1">
      <c r="A82" s="4" t="s">
        <v>154</v>
      </c>
      <c r="B82" s="117"/>
      <c r="C82" s="6" t="s">
        <v>37</v>
      </c>
      <c r="D82" s="29"/>
      <c r="E82" s="8">
        <v>43385</v>
      </c>
      <c r="F82" s="9">
        <v>12</v>
      </c>
      <c r="G82" s="25">
        <f>EDATE(E82,F82)-1</f>
        <v>43749</v>
      </c>
      <c r="H82" s="118">
        <f ca="1">IF(G82&gt;=TODAY(),DATEDIF(TODAY(),G82,"m"),0)</f>
        <v>3</v>
      </c>
      <c r="I82" s="30"/>
      <c r="J82" s="180" t="s">
        <v>155</v>
      </c>
    </row>
    <row r="83" spans="1:10" s="3" customFormat="1" ht="12" customHeight="1">
      <c r="A83" s="11"/>
      <c r="B83" s="119" t="s">
        <v>36</v>
      </c>
      <c r="C83" s="13" t="s">
        <v>38</v>
      </c>
      <c r="D83" s="31">
        <f>3163*1.2</f>
        <v>3795.6</v>
      </c>
      <c r="E83" s="15"/>
      <c r="F83" s="16"/>
      <c r="G83" s="25"/>
      <c r="H83" s="118"/>
      <c r="I83" s="32" t="s">
        <v>16</v>
      </c>
      <c r="J83" s="181"/>
    </row>
    <row r="84" spans="1:10" s="3" customFormat="1" ht="12" customHeight="1">
      <c r="A84" s="18"/>
      <c r="B84" s="121"/>
      <c r="C84" s="182" t="s">
        <v>39</v>
      </c>
      <c r="D84" s="33"/>
      <c r="E84" s="22"/>
      <c r="F84" s="23"/>
      <c r="G84" s="25"/>
      <c r="H84" s="118"/>
      <c r="I84" s="183"/>
      <c r="J84" s="184"/>
    </row>
    <row r="85" spans="1:10" s="3" customFormat="1" ht="12" customHeight="1">
      <c r="A85" s="135" t="s">
        <v>156</v>
      </c>
      <c r="B85" s="185" t="s">
        <v>29</v>
      </c>
      <c r="C85" s="186" t="s">
        <v>157</v>
      </c>
      <c r="D85" s="29"/>
      <c r="E85" s="8">
        <v>43466</v>
      </c>
      <c r="F85" s="9">
        <v>60</v>
      </c>
      <c r="G85" s="10">
        <f>EDATE(E85,F85)-1</f>
        <v>45291</v>
      </c>
      <c r="H85" s="4">
        <f ca="1">IF(G85&gt;=TODAY(),DATEDIF(TODAY(),G85,"m"),0)</f>
        <v>53</v>
      </c>
      <c r="I85" s="4" t="s">
        <v>58</v>
      </c>
      <c r="J85" s="70"/>
    </row>
    <row r="86" spans="1:10" s="3" customFormat="1" ht="12" customHeight="1">
      <c r="A86" s="137"/>
      <c r="B86" s="187"/>
      <c r="C86" s="188" t="s">
        <v>158</v>
      </c>
      <c r="D86" s="31"/>
      <c r="E86" s="15"/>
      <c r="F86" s="16"/>
      <c r="G86" s="17"/>
      <c r="H86" s="11"/>
      <c r="I86" s="11"/>
      <c r="J86" s="80"/>
    </row>
    <row r="87" spans="1:10" s="158" customFormat="1" ht="12" customHeight="1">
      <c r="A87" s="137"/>
      <c r="B87" s="187"/>
      <c r="C87" s="188" t="s">
        <v>159</v>
      </c>
      <c r="D87" s="189"/>
      <c r="E87" s="15"/>
      <c r="F87" s="16"/>
      <c r="G87" s="17"/>
      <c r="H87" s="11"/>
      <c r="I87" s="11"/>
      <c r="J87" s="80"/>
    </row>
    <row r="88" spans="1:10">
      <c r="A88" s="138"/>
      <c r="B88" s="190"/>
      <c r="C88" s="191" t="s">
        <v>160</v>
      </c>
      <c r="D88" s="192"/>
      <c r="E88" s="192"/>
      <c r="F88" s="192"/>
      <c r="G88" s="192"/>
      <c r="H88" s="192"/>
      <c r="I88" s="192"/>
      <c r="J88" s="192"/>
    </row>
    <row r="89" spans="1:10" s="3" customFormat="1" ht="12" customHeight="1">
      <c r="A89" s="193" t="s">
        <v>161</v>
      </c>
      <c r="B89" s="141" t="s">
        <v>162</v>
      </c>
      <c r="C89" s="186" t="s">
        <v>163</v>
      </c>
      <c r="D89" s="59"/>
      <c r="E89" s="194">
        <v>43466</v>
      </c>
      <c r="F89" s="78">
        <v>60</v>
      </c>
      <c r="G89" s="88">
        <f t="shared" ref="G89" si="2">EDATE(E89,F89)-1</f>
        <v>45291</v>
      </c>
      <c r="H89" s="78">
        <f t="shared" ref="H89" ca="1" si="3">IF(G89&gt;=TODAY(),DATEDIF(TODAY(),G89,"m"),0)</f>
        <v>53</v>
      </c>
      <c r="I89" s="195"/>
      <c r="J89" s="70"/>
    </row>
    <row r="90" spans="1:10" s="3" customFormat="1" ht="12" customHeight="1">
      <c r="A90" s="34"/>
      <c r="B90" s="143"/>
      <c r="C90" s="188" t="s">
        <v>164</v>
      </c>
      <c r="D90" s="36"/>
      <c r="E90" s="196"/>
      <c r="F90" s="79"/>
      <c r="G90" s="91"/>
      <c r="H90" s="79"/>
      <c r="I90" s="197"/>
      <c r="J90" s="148"/>
    </row>
    <row r="91" spans="1:10" s="3" customFormat="1" ht="12" customHeight="1">
      <c r="A91" s="34"/>
      <c r="B91" s="143"/>
      <c r="C91" s="188" t="s">
        <v>165</v>
      </c>
      <c r="D91" s="36"/>
      <c r="E91" s="196"/>
      <c r="F91" s="79"/>
      <c r="G91" s="91"/>
      <c r="H91" s="79"/>
      <c r="I91" s="197"/>
      <c r="J91" s="148"/>
    </row>
    <row r="92" spans="1:10" s="3" customFormat="1" ht="12" customHeight="1">
      <c r="A92" s="34"/>
      <c r="B92" s="143"/>
      <c r="C92" s="188" t="s">
        <v>166</v>
      </c>
      <c r="D92" s="36">
        <f>2580*1.2</f>
        <v>3096</v>
      </c>
      <c r="E92" s="196"/>
      <c r="F92" s="79"/>
      <c r="G92" s="91"/>
      <c r="H92" s="79"/>
      <c r="I92" s="32" t="s">
        <v>167</v>
      </c>
      <c r="J92" s="80"/>
    </row>
    <row r="93" spans="1:10" s="3" customFormat="1" ht="12" customHeight="1">
      <c r="A93" s="44"/>
      <c r="B93" s="145"/>
      <c r="C93" s="198" t="s">
        <v>168</v>
      </c>
      <c r="D93" s="47"/>
      <c r="E93" s="199"/>
      <c r="F93" s="81"/>
      <c r="G93" s="95"/>
      <c r="H93" s="81"/>
      <c r="I93" s="197"/>
      <c r="J93" s="82"/>
    </row>
    <row r="94" spans="1:10" ht="25.5" customHeight="1">
      <c r="A94" s="193" t="s">
        <v>169</v>
      </c>
      <c r="B94" s="141" t="s">
        <v>170</v>
      </c>
      <c r="C94" s="186" t="s">
        <v>163</v>
      </c>
      <c r="D94" s="59">
        <v>950</v>
      </c>
      <c r="E94" s="194">
        <v>43424</v>
      </c>
      <c r="F94" s="78">
        <v>36</v>
      </c>
      <c r="G94" s="88">
        <f t="shared" ref="G94" si="4">EDATE(E94,F94)-1</f>
        <v>44519</v>
      </c>
      <c r="H94" s="78">
        <f t="shared" ref="H94" ca="1" si="5">IF(G94&gt;=TODAY(),DATEDIF(TODAY(),G94,"m"),0)</f>
        <v>28</v>
      </c>
      <c r="I94" s="78" t="s">
        <v>52</v>
      </c>
      <c r="J94" s="180" t="s">
        <v>171</v>
      </c>
    </row>
    <row r="95" spans="1:10">
      <c r="A95" s="34"/>
      <c r="B95" s="143"/>
      <c r="C95" s="188" t="s">
        <v>164</v>
      </c>
      <c r="D95" s="36"/>
      <c r="E95" s="196"/>
      <c r="F95" s="79"/>
      <c r="G95" s="91"/>
      <c r="H95" s="79"/>
      <c r="I95" s="79"/>
      <c r="J95" s="181"/>
    </row>
    <row r="96" spans="1:10">
      <c r="A96" s="34"/>
      <c r="B96" s="143"/>
      <c r="C96" s="188" t="s">
        <v>165</v>
      </c>
      <c r="D96" s="36"/>
      <c r="E96" s="196"/>
      <c r="F96" s="79"/>
      <c r="G96" s="91"/>
      <c r="H96" s="79"/>
      <c r="I96" s="79"/>
      <c r="J96" s="181"/>
    </row>
    <row r="97" spans="1:10">
      <c r="A97" s="34"/>
      <c r="B97" s="143"/>
      <c r="C97" s="188" t="s">
        <v>166</v>
      </c>
      <c r="D97" s="36"/>
      <c r="E97" s="196"/>
      <c r="F97" s="79"/>
      <c r="G97" s="91"/>
      <c r="H97" s="79"/>
      <c r="I97" s="79"/>
      <c r="J97" s="200"/>
    </row>
    <row r="98" spans="1:10">
      <c r="A98" s="34"/>
      <c r="B98" s="143"/>
      <c r="C98" s="201" t="s">
        <v>168</v>
      </c>
      <c r="D98" s="149"/>
      <c r="E98" s="196"/>
      <c r="F98" s="79"/>
      <c r="G98" s="91"/>
      <c r="H98" s="79"/>
      <c r="I98" s="81"/>
      <c r="J98" s="200"/>
    </row>
    <row r="99" spans="1:10" s="3" customFormat="1" ht="15" customHeight="1">
      <c r="A99" s="4" t="s">
        <v>172</v>
      </c>
      <c r="B99" s="50" t="s">
        <v>173</v>
      </c>
      <c r="C99" s="6" t="s">
        <v>174</v>
      </c>
      <c r="D99" s="202">
        <v>3568.8</v>
      </c>
      <c r="E99" s="8">
        <v>43466</v>
      </c>
      <c r="F99" s="9">
        <v>24</v>
      </c>
      <c r="G99" s="25">
        <f>EDATE(E99,F99)-1</f>
        <v>44196</v>
      </c>
      <c r="H99" s="26">
        <f ca="1">IF(G99&gt;=TODAY(),DATEDIF(TODAY(),G99,"m"),0)</f>
        <v>17</v>
      </c>
      <c r="I99" s="135" t="s">
        <v>52</v>
      </c>
      <c r="J99" s="52" t="s">
        <v>175</v>
      </c>
    </row>
    <row r="100" spans="1:10" s="3" customFormat="1" ht="15" customHeight="1">
      <c r="A100" s="11"/>
      <c r="B100" s="53"/>
      <c r="C100" s="13" t="s">
        <v>176</v>
      </c>
      <c r="D100" s="203"/>
      <c r="E100" s="15"/>
      <c r="F100" s="16"/>
      <c r="G100" s="25"/>
      <c r="H100" s="26"/>
      <c r="I100" s="137"/>
      <c r="J100" s="55"/>
    </row>
    <row r="101" spans="1:10" s="3" customFormat="1" ht="15" customHeight="1">
      <c r="A101" s="11"/>
      <c r="B101" s="53"/>
      <c r="C101" s="13" t="s">
        <v>177</v>
      </c>
      <c r="D101" s="203"/>
      <c r="E101" s="15"/>
      <c r="F101" s="16"/>
      <c r="G101" s="25"/>
      <c r="H101" s="26"/>
      <c r="I101" s="137"/>
      <c r="J101" s="55"/>
    </row>
    <row r="102" spans="1:10" s="3" customFormat="1" ht="15" customHeight="1">
      <c r="A102" s="18"/>
      <c r="B102" s="56"/>
      <c r="C102" s="94" t="s">
        <v>178</v>
      </c>
      <c r="D102" s="204"/>
      <c r="E102" s="22"/>
      <c r="F102" s="23"/>
      <c r="G102" s="25"/>
      <c r="H102" s="26"/>
      <c r="I102" s="138"/>
      <c r="J102" s="58"/>
    </row>
    <row r="103" spans="1:10">
      <c r="A103" s="4" t="s">
        <v>179</v>
      </c>
      <c r="B103" s="50" t="s">
        <v>180</v>
      </c>
      <c r="C103" s="6" t="s">
        <v>181</v>
      </c>
      <c r="D103" s="202">
        <v>6553.77</v>
      </c>
      <c r="E103" s="8">
        <v>43466</v>
      </c>
      <c r="F103" s="9">
        <v>48</v>
      </c>
      <c r="G103" s="25">
        <f>EDATE(E103,F103)-1</f>
        <v>44926</v>
      </c>
      <c r="H103" s="26">
        <f ca="1">IF(G103&gt;=TODAY(),DATEDIF(TODAY(),G103,"m"),0)</f>
        <v>41</v>
      </c>
      <c r="I103" s="135" t="s">
        <v>52</v>
      </c>
      <c r="J103" s="52" t="s">
        <v>175</v>
      </c>
    </row>
    <row r="104" spans="1:10">
      <c r="A104" s="11"/>
      <c r="B104" s="53"/>
      <c r="C104" s="13"/>
      <c r="D104" s="203"/>
      <c r="E104" s="15"/>
      <c r="F104" s="16"/>
      <c r="G104" s="25"/>
      <c r="H104" s="26"/>
      <c r="I104" s="137"/>
      <c r="J104" s="55"/>
    </row>
    <row r="105" spans="1:10">
      <c r="A105" s="11"/>
      <c r="B105" s="53"/>
      <c r="C105" s="13"/>
      <c r="D105" s="203"/>
      <c r="E105" s="15"/>
      <c r="F105" s="16"/>
      <c r="G105" s="25"/>
      <c r="H105" s="26"/>
      <c r="I105" s="137"/>
      <c r="J105" s="55"/>
    </row>
    <row r="106" spans="1:10">
      <c r="A106" s="18"/>
      <c r="B106" s="56"/>
      <c r="C106" s="94"/>
      <c r="D106" s="204"/>
      <c r="E106" s="22"/>
      <c r="F106" s="23"/>
      <c r="G106" s="25"/>
      <c r="H106" s="26"/>
      <c r="I106" s="138"/>
      <c r="J106" s="58"/>
    </row>
    <row r="107" spans="1:10" ht="15">
      <c r="A107" s="4" t="s">
        <v>182</v>
      </c>
      <c r="B107" s="117" t="s">
        <v>15</v>
      </c>
      <c r="C107" s="205" t="s">
        <v>183</v>
      </c>
      <c r="D107" s="29"/>
      <c r="E107" s="8">
        <v>43466</v>
      </c>
      <c r="F107" s="9">
        <v>12</v>
      </c>
      <c r="G107" s="25">
        <f>EDATE(E107,F107)-1</f>
        <v>43830</v>
      </c>
      <c r="H107" s="118">
        <f ca="1">IF(G107&gt;=TODAY(),DATEDIF(TODAY(),G107,"m"),0)</f>
        <v>5</v>
      </c>
      <c r="I107" s="30"/>
      <c r="J107" s="180"/>
    </row>
    <row r="108" spans="1:10" ht="14.25">
      <c r="A108" s="11"/>
      <c r="B108" s="119" t="s">
        <v>17</v>
      </c>
      <c r="C108" s="206" t="s">
        <v>184</v>
      </c>
      <c r="D108" s="31">
        <v>4788.2</v>
      </c>
      <c r="E108" s="15"/>
      <c r="F108" s="16"/>
      <c r="G108" s="25"/>
      <c r="H108" s="118"/>
      <c r="I108" s="32"/>
      <c r="J108" s="181"/>
    </row>
    <row r="109" spans="1:10" ht="14.25">
      <c r="A109" s="18"/>
      <c r="B109" s="121"/>
      <c r="C109" s="207" t="s">
        <v>185</v>
      </c>
      <c r="D109" s="33"/>
      <c r="E109" s="22"/>
      <c r="F109" s="23"/>
      <c r="G109" s="25"/>
      <c r="H109" s="118"/>
      <c r="I109" s="183"/>
      <c r="J109" s="184"/>
    </row>
    <row r="110" spans="1:10" s="3" customFormat="1" ht="12" customHeight="1">
      <c r="A110" s="193" t="s">
        <v>186</v>
      </c>
      <c r="B110" s="208" t="s">
        <v>30</v>
      </c>
      <c r="C110" s="209" t="s">
        <v>31</v>
      </c>
      <c r="D110" s="210"/>
      <c r="E110" s="211">
        <v>43525</v>
      </c>
      <c r="F110" s="212">
        <v>72</v>
      </c>
      <c r="G110" s="42">
        <f>EDATE(E110,F110)-1</f>
        <v>45716</v>
      </c>
      <c r="H110" s="43">
        <f ca="1">IF(G110&gt;=TODAY(),DATEDIF(TODAY(),G110,"m"),0)</f>
        <v>67</v>
      </c>
      <c r="I110" s="213" t="s">
        <v>52</v>
      </c>
      <c r="J110" s="214" t="s">
        <v>187</v>
      </c>
    </row>
    <row r="111" spans="1:10" s="3" customFormat="1" ht="12" customHeight="1">
      <c r="A111" s="34"/>
      <c r="B111" s="35" t="s">
        <v>32</v>
      </c>
      <c r="C111" s="41" t="s">
        <v>33</v>
      </c>
      <c r="D111" s="31">
        <v>20198.400000000001</v>
      </c>
      <c r="E111" s="37"/>
      <c r="F111" s="38"/>
      <c r="G111" s="42"/>
      <c r="H111" s="43"/>
      <c r="I111" s="215"/>
      <c r="J111" s="144"/>
    </row>
    <row r="112" spans="1:10" s="3" customFormat="1" ht="12" customHeight="1">
      <c r="A112" s="44"/>
      <c r="B112" s="45" t="s">
        <v>34</v>
      </c>
      <c r="C112" s="46" t="s">
        <v>35</v>
      </c>
      <c r="D112" s="216"/>
      <c r="E112" s="48"/>
      <c r="F112" s="49"/>
      <c r="G112" s="42"/>
      <c r="H112" s="43"/>
      <c r="I112" s="217"/>
      <c r="J112" s="147"/>
    </row>
    <row r="113" spans="1:11" ht="25.5" customHeight="1">
      <c r="A113" s="4" t="s">
        <v>188</v>
      </c>
      <c r="B113" s="117" t="s">
        <v>189</v>
      </c>
      <c r="C113" s="205" t="s">
        <v>190</v>
      </c>
      <c r="D113" s="29"/>
      <c r="E113" s="8">
        <v>43657</v>
      </c>
      <c r="F113" s="9">
        <v>36</v>
      </c>
      <c r="G113" s="25">
        <f>EDATE(E113,F113)-1</f>
        <v>44752</v>
      </c>
      <c r="H113" s="118">
        <f ca="1">IF(G113&gt;=TODAY(),DATEDIF(TODAY(),G113,"m"),0)</f>
        <v>36</v>
      </c>
      <c r="I113" s="135" t="s">
        <v>52</v>
      </c>
      <c r="J113" s="180" t="s">
        <v>175</v>
      </c>
    </row>
    <row r="114" spans="1:11" ht="15">
      <c r="A114" s="11"/>
      <c r="B114" s="119"/>
      <c r="C114" s="206" t="s">
        <v>191</v>
      </c>
      <c r="D114" s="31">
        <v>2760</v>
      </c>
      <c r="E114" s="15"/>
      <c r="F114" s="16"/>
      <c r="G114" s="25"/>
      <c r="H114" s="118"/>
      <c r="I114" s="137"/>
      <c r="J114" s="181"/>
      <c r="K114" s="218"/>
    </row>
    <row r="115" spans="1:11" ht="14.25">
      <c r="A115" s="18"/>
      <c r="B115" s="121"/>
      <c r="C115" s="207" t="s">
        <v>192</v>
      </c>
      <c r="D115" s="33"/>
      <c r="E115" s="22"/>
      <c r="F115" s="23"/>
      <c r="G115" s="25"/>
      <c r="H115" s="118"/>
      <c r="I115" s="138"/>
      <c r="J115" s="184"/>
      <c r="K115" s="219"/>
    </row>
    <row r="116" spans="1:11" ht="14.25">
      <c r="K116" s="219"/>
    </row>
  </sheetData>
  <autoFilter ref="A1:J57"/>
  <mergeCells count="210">
    <mergeCell ref="J110:J112"/>
    <mergeCell ref="A113:A115"/>
    <mergeCell ref="E113:E115"/>
    <mergeCell ref="F113:F115"/>
    <mergeCell ref="G113:G115"/>
    <mergeCell ref="H113:H115"/>
    <mergeCell ref="I113:I115"/>
    <mergeCell ref="J113:J115"/>
    <mergeCell ref="A110:A112"/>
    <mergeCell ref="E110:E112"/>
    <mergeCell ref="F110:F112"/>
    <mergeCell ref="G110:G112"/>
    <mergeCell ref="H110:H112"/>
    <mergeCell ref="I110:I112"/>
    <mergeCell ref="A107:A109"/>
    <mergeCell ref="E107:E109"/>
    <mergeCell ref="F107:F109"/>
    <mergeCell ref="G107:G109"/>
    <mergeCell ref="H107:H109"/>
    <mergeCell ref="J107:J109"/>
    <mergeCell ref="I99:I102"/>
    <mergeCell ref="J99:J102"/>
    <mergeCell ref="A103:A106"/>
    <mergeCell ref="B103:B106"/>
    <mergeCell ref="E103:E106"/>
    <mergeCell ref="F103:F106"/>
    <mergeCell ref="G103:G106"/>
    <mergeCell ref="H103:H106"/>
    <mergeCell ref="I103:I106"/>
    <mergeCell ref="J103:J106"/>
    <mergeCell ref="A99:A102"/>
    <mergeCell ref="B99:B102"/>
    <mergeCell ref="E99:E102"/>
    <mergeCell ref="F99:F102"/>
    <mergeCell ref="G99:G102"/>
    <mergeCell ref="H99:H102"/>
    <mergeCell ref="A94:A98"/>
    <mergeCell ref="B94:B98"/>
    <mergeCell ref="E94:E98"/>
    <mergeCell ref="F94:F98"/>
    <mergeCell ref="G94:G98"/>
    <mergeCell ref="H94:H98"/>
    <mergeCell ref="I94:I98"/>
    <mergeCell ref="J94:J98"/>
    <mergeCell ref="I85:I87"/>
    <mergeCell ref="J85:J87"/>
    <mergeCell ref="A89:A93"/>
    <mergeCell ref="B89:B93"/>
    <mergeCell ref="E89:E93"/>
    <mergeCell ref="F89:F93"/>
    <mergeCell ref="G89:G93"/>
    <mergeCell ref="H89:H93"/>
    <mergeCell ref="J89:J93"/>
    <mergeCell ref="A85:A88"/>
    <mergeCell ref="B85:B88"/>
    <mergeCell ref="E85:E87"/>
    <mergeCell ref="F85:F87"/>
    <mergeCell ref="G85:G87"/>
    <mergeCell ref="H85:H87"/>
    <mergeCell ref="A82:A84"/>
    <mergeCell ref="E82:E84"/>
    <mergeCell ref="F82:F84"/>
    <mergeCell ref="G82:G84"/>
    <mergeCell ref="H82:H84"/>
    <mergeCell ref="J82:J84"/>
    <mergeCell ref="I60:I62"/>
    <mergeCell ref="J60:J62"/>
    <mergeCell ref="A63:A71"/>
    <mergeCell ref="I63:I81"/>
    <mergeCell ref="J63:J71"/>
    <mergeCell ref="A72:A81"/>
    <mergeCell ref="J72:J78"/>
    <mergeCell ref="J79:J81"/>
    <mergeCell ref="A60:A62"/>
    <mergeCell ref="B60:B62"/>
    <mergeCell ref="E60:E62"/>
    <mergeCell ref="F60:F62"/>
    <mergeCell ref="G60:G62"/>
    <mergeCell ref="H60:H62"/>
    <mergeCell ref="I54:I56"/>
    <mergeCell ref="J54:J56"/>
    <mergeCell ref="A57:A59"/>
    <mergeCell ref="B57:B59"/>
    <mergeCell ref="E57:E59"/>
    <mergeCell ref="F57:F59"/>
    <mergeCell ref="G57:G59"/>
    <mergeCell ref="H57:H59"/>
    <mergeCell ref="I57:I59"/>
    <mergeCell ref="J57:J59"/>
    <mergeCell ref="A54:A56"/>
    <mergeCell ref="B54:B56"/>
    <mergeCell ref="E54:E56"/>
    <mergeCell ref="F54:F56"/>
    <mergeCell ref="G54:G56"/>
    <mergeCell ref="H54:H56"/>
    <mergeCell ref="A51:A53"/>
    <mergeCell ref="E51:E53"/>
    <mergeCell ref="F51:F53"/>
    <mergeCell ref="G51:G53"/>
    <mergeCell ref="H51:H53"/>
    <mergeCell ref="I51:I53"/>
    <mergeCell ref="J51:J53"/>
    <mergeCell ref="J45:J47"/>
    <mergeCell ref="A48:A50"/>
    <mergeCell ref="B48:B50"/>
    <mergeCell ref="E48:E50"/>
    <mergeCell ref="F48:F50"/>
    <mergeCell ref="G48:G50"/>
    <mergeCell ref="H48:H50"/>
    <mergeCell ref="I48:I50"/>
    <mergeCell ref="J48:J50"/>
    <mergeCell ref="I42:I44"/>
    <mergeCell ref="A45:A47"/>
    <mergeCell ref="B45:B47"/>
    <mergeCell ref="E45:E47"/>
    <mergeCell ref="F45:F47"/>
    <mergeCell ref="G45:G47"/>
    <mergeCell ref="H45:H47"/>
    <mergeCell ref="I45:I47"/>
    <mergeCell ref="A42:A44"/>
    <mergeCell ref="B42:B44"/>
    <mergeCell ref="E42:E44"/>
    <mergeCell ref="F42:F44"/>
    <mergeCell ref="G42:G44"/>
    <mergeCell ref="H42:H44"/>
    <mergeCell ref="A39:A41"/>
    <mergeCell ref="E39:E41"/>
    <mergeCell ref="F39:F41"/>
    <mergeCell ref="G39:G41"/>
    <mergeCell ref="H39:H41"/>
    <mergeCell ref="J39:J41"/>
    <mergeCell ref="J32:J34"/>
    <mergeCell ref="A35:A38"/>
    <mergeCell ref="B35:B38"/>
    <mergeCell ref="E35:E38"/>
    <mergeCell ref="F35:F38"/>
    <mergeCell ref="G35:G38"/>
    <mergeCell ref="H35:H38"/>
    <mergeCell ref="I35:I38"/>
    <mergeCell ref="J35:J38"/>
    <mergeCell ref="A32:A34"/>
    <mergeCell ref="E32:E34"/>
    <mergeCell ref="F32:F34"/>
    <mergeCell ref="G32:G34"/>
    <mergeCell ref="H32:H34"/>
    <mergeCell ref="I32:I34"/>
    <mergeCell ref="A29:A31"/>
    <mergeCell ref="E29:E31"/>
    <mergeCell ref="F29:F31"/>
    <mergeCell ref="G29:G31"/>
    <mergeCell ref="H29:H31"/>
    <mergeCell ref="I29:I31"/>
    <mergeCell ref="I23:I25"/>
    <mergeCell ref="A26:A28"/>
    <mergeCell ref="E26:E28"/>
    <mergeCell ref="F26:F28"/>
    <mergeCell ref="G26:G28"/>
    <mergeCell ref="H26:H28"/>
    <mergeCell ref="I26:I28"/>
    <mergeCell ref="A23:A25"/>
    <mergeCell ref="B23:B25"/>
    <mergeCell ref="E23:E25"/>
    <mergeCell ref="F23:F25"/>
    <mergeCell ref="G23:G25"/>
    <mergeCell ref="H23:H25"/>
    <mergeCell ref="J15:J19"/>
    <mergeCell ref="A20:A22"/>
    <mergeCell ref="E20:E22"/>
    <mergeCell ref="F20:F22"/>
    <mergeCell ref="G20:G22"/>
    <mergeCell ref="H20:H22"/>
    <mergeCell ref="I20:I22"/>
    <mergeCell ref="J20:J22"/>
    <mergeCell ref="A15:A19"/>
    <mergeCell ref="E15:E19"/>
    <mergeCell ref="F15:F19"/>
    <mergeCell ref="G15:G19"/>
    <mergeCell ref="H15:H19"/>
    <mergeCell ref="I15:I19"/>
    <mergeCell ref="I8:I10"/>
    <mergeCell ref="J8:J10"/>
    <mergeCell ref="A11:A14"/>
    <mergeCell ref="E11:E14"/>
    <mergeCell ref="F11:F14"/>
    <mergeCell ref="G11:G14"/>
    <mergeCell ref="H11:H14"/>
    <mergeCell ref="I11:I14"/>
    <mergeCell ref="J11:J14"/>
    <mergeCell ref="A8:A10"/>
    <mergeCell ref="B8:B10"/>
    <mergeCell ref="E8:E10"/>
    <mergeCell ref="F8:F10"/>
    <mergeCell ref="G8:G10"/>
    <mergeCell ref="H8:H10"/>
    <mergeCell ref="I2:I4"/>
    <mergeCell ref="J2:J4"/>
    <mergeCell ref="A5:A7"/>
    <mergeCell ref="B5:B7"/>
    <mergeCell ref="E5:E7"/>
    <mergeCell ref="F5:F7"/>
    <mergeCell ref="G5:G7"/>
    <mergeCell ref="H5:H7"/>
    <mergeCell ref="I5:I7"/>
    <mergeCell ref="J5:J7"/>
    <mergeCell ref="A2:A4"/>
    <mergeCell ref="B2:B4"/>
    <mergeCell ref="E2:E4"/>
    <mergeCell ref="F2:F4"/>
    <mergeCell ref="G2:G4"/>
    <mergeCell ref="H2:H4"/>
  </mergeCells>
  <pageMargins left="0.15748031496062992" right="0.15748031496062992" top="0.39370078740157483" bottom="0.19685039370078741" header="0.15748031496062992" footer="0.15748031496062992"/>
  <pageSetup paperSize="9" scale="70" orientation="landscape" r:id="rId1"/>
  <headerFooter>
    <oddHeader>&amp;C&amp;"-,Gras"Contrats Service Informatique</oddHeader>
    <oddFooter>&amp;R&amp;"-,Gras"Impression le 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Contrat</vt:lpstr>
      <vt:lpstr>Contrat!Impression_des_titres</vt:lpstr>
      <vt:lpstr>Contrat!Zone_d_impression</vt:lpstr>
    </vt:vector>
  </TitlesOfParts>
  <Company>MAIRIE DE CLICHY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n-fedad</dc:creator>
  <cp:lastModifiedBy>n-fedad</cp:lastModifiedBy>
  <cp:lastPrinted>2019-07-03T08:25:16Z</cp:lastPrinted>
  <dcterms:created xsi:type="dcterms:W3CDTF">2019-07-03T08:22:54Z</dcterms:created>
  <dcterms:modified xsi:type="dcterms:W3CDTF">2019-07-03T08:25:30Z</dcterms:modified>
</cp:coreProperties>
</file>