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bay scallops 2021\July 26 2021\"/>
    </mc:Choice>
  </mc:AlternateContent>
  <bookViews>
    <workbookView xWindow="0" yWindow="0" windowWidth="22455" windowHeight="10560" firstSheet="67" activeTab="68"/>
  </bookViews>
  <sheets>
    <sheet name="feeding 7-27 to 7-28" sheetId="1" r:id="rId1"/>
    <sheet name="feeding 7-28 to 7-29" sheetId="15" r:id="rId2"/>
    <sheet name="feeding 7-29 to 7-30" sheetId="16" r:id="rId3"/>
    <sheet name="feeding 7-31 to 8-2" sheetId="17" r:id="rId4"/>
    <sheet name="feeding 8-1 to 8-2" sheetId="18" r:id="rId5"/>
    <sheet name="feeding 8-2 to 8-3" sheetId="19" r:id="rId6"/>
    <sheet name="feeding 8-3 to 8-4" sheetId="20" r:id="rId7"/>
    <sheet name="feeding 8-4 to 8-5" sheetId="21" r:id="rId8"/>
    <sheet name="feeding 8-5 to 8-6" sheetId="22" r:id="rId9"/>
    <sheet name="feeding 8-6 to 8-7" sheetId="23" r:id="rId10"/>
    <sheet name="feeding 8-7 to 8-8" sheetId="24" r:id="rId11"/>
    <sheet name="feeding 8-8 to 8-9" sheetId="25" r:id="rId12"/>
    <sheet name="feeding 8-10 to 8-10" sheetId="26" r:id="rId13"/>
    <sheet name="feeding 8-11 to 8-12" sheetId="27" r:id="rId14"/>
    <sheet name="downwellers 8-16-21021" sheetId="29" r:id="rId15"/>
    <sheet name="downwellers 8-20-21" sheetId="30" r:id="rId16"/>
    <sheet name="downwellers 8-24-21" sheetId="31" r:id="rId17"/>
    <sheet name="downwellers 8-27-21" sheetId="32" r:id="rId18"/>
    <sheet name="downwellers 9-1-21" sheetId="33" r:id="rId19"/>
    <sheet name="downwellers 9-2-21" sheetId="34" r:id="rId20"/>
    <sheet name="downwellers 9-8-21" sheetId="35" r:id="rId21"/>
    <sheet name="downwellers 9-10-21" sheetId="36" r:id="rId22"/>
    <sheet name="downwellers 9-13-21" sheetId="37" r:id="rId23"/>
    <sheet name="downwellers 9-15-21" sheetId="38" r:id="rId24"/>
    <sheet name="DOWNWELLERS 9-16-21" sheetId="39" r:id="rId25"/>
    <sheet name="DOWNWELLERS 9-20-21 mORNING" sheetId="40" r:id="rId26"/>
    <sheet name="DOWNWELLERS 9-20-21 AFTERNOON" sheetId="43" r:id="rId27"/>
    <sheet name="DOWNWELLERS 9-21-21 MORNING" sheetId="45" r:id="rId28"/>
    <sheet name="DOWNWELLERS 9-22-21" sheetId="47" r:id="rId29"/>
    <sheet name="DOWNWELLERS 9-23-21" sheetId="46" r:id="rId30"/>
    <sheet name="DOWNWELLERS 9-27-21 " sheetId="49" r:id="rId31"/>
    <sheet name="DOWNWELLERS 9-28-21" sheetId="51" r:id="rId32"/>
    <sheet name="DOWNWELLERS 9-30-21" sheetId="52" r:id="rId33"/>
    <sheet name="DOWNWELLERS 10-04-21" sheetId="53" r:id="rId34"/>
    <sheet name="DOWNWELLERS 10-05-21" sheetId="54" r:id="rId35"/>
    <sheet name="DOWNWELLERS 10-06-21" sheetId="55" r:id="rId36"/>
    <sheet name="DOWNWELLERS 10-07-21" sheetId="56" r:id="rId37"/>
    <sheet name="DOWNWELLERS 10-12-21" sheetId="57" r:id="rId38"/>
    <sheet name="DOWNWELLERS 10-13-21" sheetId="58" r:id="rId39"/>
    <sheet name="DOWNWELLERS 10-14-21 " sheetId="59" r:id="rId40"/>
    <sheet name="DOWNWELLERS 10-18-21" sheetId="61" r:id="rId41"/>
    <sheet name="DOWNWELLERS 10-19-21" sheetId="62" r:id="rId42"/>
    <sheet name="DOWNWELLERS 10-21-21" sheetId="63" r:id="rId43"/>
    <sheet name="DOWNWELLERS 10-27-2021" sheetId="64" r:id="rId44"/>
    <sheet name="DOWNWELLERS 11-01-21" sheetId="65" r:id="rId45"/>
    <sheet name="DOWNWELLERS 11-02-2021" sheetId="66" r:id="rId46"/>
    <sheet name="DOWNWELLERS 11-03-2021" sheetId="67" r:id="rId47"/>
    <sheet name="DOWNWELLERS 11-09-2021" sheetId="68" r:id="rId48"/>
    <sheet name="DOWNWELLERS 11-10-2021" sheetId="69" r:id="rId49"/>
    <sheet name="DOWNWELLERS 11-15-2021" sheetId="71" r:id="rId50"/>
    <sheet name="DOWNWELLERS 10-04-2021 NEW GATE" sheetId="72" r:id="rId51"/>
    <sheet name="DOWNWELLERS 11-16-2021 " sheetId="73" r:id="rId52"/>
    <sheet name="DOWNWELLERS 11-18-21" sheetId="74" r:id="rId53"/>
    <sheet name="DOWNWELLERS 11-23-21" sheetId="75" r:id="rId54"/>
    <sheet name="DOWNWELLERS 11-23-21.afternoon" sheetId="76" r:id="rId55"/>
    <sheet name="DOWNWELLERS 11-30-21 (2)" sheetId="78" r:id="rId56"/>
    <sheet name="DOWNWELLERS 12-1-21" sheetId="77" r:id="rId57"/>
    <sheet name="DOWNWELLERS 12-2-21" sheetId="79" r:id="rId58"/>
    <sheet name="DOWNWELLERS 12-6-21 " sheetId="80" r:id="rId59"/>
    <sheet name="DOWNWELLERS 12-8-21" sheetId="81" r:id="rId60"/>
    <sheet name="DOWNWELLERS 12-9-21" sheetId="82" r:id="rId61"/>
    <sheet name="DOWNWELLERS 12-13-21" sheetId="83" r:id="rId62"/>
    <sheet name="DOWNWELLERS 12-14-21" sheetId="84" r:id="rId63"/>
    <sheet name="DOWNWELLERS 12-15-21" sheetId="85" r:id="rId64"/>
    <sheet name="DOWNWELLERS 12-16-21" sheetId="86" r:id="rId65"/>
    <sheet name="DOWNWELLERS 12-21-21" sheetId="87" r:id="rId66"/>
    <sheet name="DOWNWELLERS 12-27-21" sheetId="88" r:id="rId67"/>
    <sheet name="DOWNWELLERS 12-28-21" sheetId="89" r:id="rId68"/>
    <sheet name="DOWNWELLERS 12-29-21" sheetId="90" r:id="rId6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90" l="1"/>
  <c r="F20" i="90"/>
  <c r="D20" i="90"/>
  <c r="O12" i="90"/>
  <c r="M12" i="90"/>
  <c r="L12" i="90"/>
  <c r="J12" i="90"/>
  <c r="N12" i="90" s="1"/>
  <c r="F12" i="90"/>
  <c r="D12" i="90"/>
  <c r="O11" i="90"/>
  <c r="M11" i="90"/>
  <c r="L11" i="90"/>
  <c r="J11" i="90"/>
  <c r="F11" i="90"/>
  <c r="D11" i="90"/>
  <c r="N11" i="90" s="1"/>
  <c r="O10" i="90"/>
  <c r="M10" i="90"/>
  <c r="L10" i="90"/>
  <c r="J10" i="90"/>
  <c r="F10" i="90"/>
  <c r="D10" i="90"/>
  <c r="O9" i="90"/>
  <c r="M9" i="90"/>
  <c r="L9" i="90"/>
  <c r="J9" i="90"/>
  <c r="F9" i="90"/>
  <c r="D9" i="90"/>
  <c r="N9" i="90" s="1"/>
  <c r="O8" i="90"/>
  <c r="M8" i="90"/>
  <c r="L8" i="90"/>
  <c r="J8" i="90"/>
  <c r="F8" i="90"/>
  <c r="D8" i="90"/>
  <c r="O7" i="90"/>
  <c r="M7" i="90"/>
  <c r="L7" i="90"/>
  <c r="J7" i="90"/>
  <c r="F7" i="90"/>
  <c r="D7" i="90"/>
  <c r="O6" i="90"/>
  <c r="M6" i="90"/>
  <c r="L6" i="90"/>
  <c r="J6" i="90"/>
  <c r="F6" i="90"/>
  <c r="D6" i="90"/>
  <c r="N6" i="90" s="1"/>
  <c r="O5" i="90"/>
  <c r="M5" i="90"/>
  <c r="L5" i="90"/>
  <c r="J5" i="90"/>
  <c r="F5" i="90"/>
  <c r="D5" i="90"/>
  <c r="O4" i="90"/>
  <c r="M4" i="90"/>
  <c r="L4" i="90"/>
  <c r="J4" i="90"/>
  <c r="F4" i="90"/>
  <c r="D4" i="90"/>
  <c r="G20" i="89"/>
  <c r="F20" i="89"/>
  <c r="D20" i="89"/>
  <c r="O12" i="89"/>
  <c r="M12" i="89"/>
  <c r="L12" i="89"/>
  <c r="J12" i="89"/>
  <c r="F12" i="89"/>
  <c r="D12" i="89"/>
  <c r="O11" i="89"/>
  <c r="M11" i="89"/>
  <c r="L11" i="89"/>
  <c r="J11" i="89"/>
  <c r="F11" i="89"/>
  <c r="D11" i="89"/>
  <c r="O10" i="89"/>
  <c r="M10" i="89"/>
  <c r="L10" i="89"/>
  <c r="J10" i="89"/>
  <c r="F10" i="89"/>
  <c r="D10" i="89"/>
  <c r="O9" i="89"/>
  <c r="M9" i="89"/>
  <c r="L9" i="89"/>
  <c r="J9" i="89"/>
  <c r="F9" i="89"/>
  <c r="D9" i="89"/>
  <c r="N9" i="89" s="1"/>
  <c r="O8" i="89"/>
  <c r="M8" i="89"/>
  <c r="L8" i="89"/>
  <c r="J8" i="89"/>
  <c r="F8" i="89"/>
  <c r="D8" i="89"/>
  <c r="O7" i="89"/>
  <c r="M7" i="89"/>
  <c r="L7" i="89"/>
  <c r="J7" i="89"/>
  <c r="F7" i="89"/>
  <c r="D7" i="89"/>
  <c r="N7" i="89" s="1"/>
  <c r="O6" i="89"/>
  <c r="M6" i="89"/>
  <c r="L6" i="89"/>
  <c r="J6" i="89"/>
  <c r="F6" i="89"/>
  <c r="D6" i="89"/>
  <c r="O5" i="89"/>
  <c r="M5" i="89"/>
  <c r="L5" i="89"/>
  <c r="J5" i="89"/>
  <c r="F5" i="89"/>
  <c r="D5" i="89"/>
  <c r="N5" i="89" s="1"/>
  <c r="O4" i="89"/>
  <c r="M4" i="89"/>
  <c r="L4" i="89"/>
  <c r="J4" i="89"/>
  <c r="F4" i="89"/>
  <c r="D4" i="89"/>
  <c r="G20" i="88"/>
  <c r="F20" i="88"/>
  <c r="D20" i="88"/>
  <c r="O12" i="88"/>
  <c r="M12" i="88"/>
  <c r="L12" i="88"/>
  <c r="J12" i="88"/>
  <c r="F12" i="88"/>
  <c r="D12" i="88"/>
  <c r="N12" i="88" s="1"/>
  <c r="O11" i="88"/>
  <c r="M11" i="88"/>
  <c r="L11" i="88"/>
  <c r="J11" i="88"/>
  <c r="F11" i="88"/>
  <c r="D11" i="88"/>
  <c r="O10" i="88"/>
  <c r="M10" i="88"/>
  <c r="L10" i="88"/>
  <c r="J10" i="88"/>
  <c r="F10" i="88"/>
  <c r="D10" i="88"/>
  <c r="O9" i="88"/>
  <c r="M9" i="88"/>
  <c r="L9" i="88"/>
  <c r="J9" i="88"/>
  <c r="F9" i="88"/>
  <c r="D9" i="88"/>
  <c r="O8" i="88"/>
  <c r="M8" i="88"/>
  <c r="L8" i="88"/>
  <c r="J8" i="88"/>
  <c r="F8" i="88"/>
  <c r="D8" i="88"/>
  <c r="O7" i="88"/>
  <c r="M7" i="88"/>
  <c r="L7" i="88"/>
  <c r="J7" i="88"/>
  <c r="F7" i="88"/>
  <c r="D7" i="88"/>
  <c r="N7" i="88" s="1"/>
  <c r="O6" i="88"/>
  <c r="M6" i="88"/>
  <c r="L6" i="88"/>
  <c r="J6" i="88"/>
  <c r="F6" i="88"/>
  <c r="D6" i="88"/>
  <c r="O5" i="88"/>
  <c r="M5" i="88"/>
  <c r="L5" i="88"/>
  <c r="J5" i="88"/>
  <c r="F5" i="88"/>
  <c r="D5" i="88"/>
  <c r="O4" i="88"/>
  <c r="M4" i="88"/>
  <c r="L4" i="88"/>
  <c r="J4" i="88"/>
  <c r="F4" i="88"/>
  <c r="D4" i="88"/>
  <c r="P14" i="90" l="1"/>
  <c r="N8" i="90"/>
  <c r="N4" i="90"/>
  <c r="L14" i="90"/>
  <c r="N7" i="90"/>
  <c r="N10" i="90"/>
  <c r="O14" i="90"/>
  <c r="N5" i="90"/>
  <c r="M14" i="90"/>
  <c r="G14" i="90"/>
  <c r="F14" i="90"/>
  <c r="N12" i="89"/>
  <c r="N11" i="89"/>
  <c r="P14" i="89"/>
  <c r="N6" i="89"/>
  <c r="L14" i="89"/>
  <c r="M14" i="89"/>
  <c r="N4" i="89"/>
  <c r="N8" i="89"/>
  <c r="O14" i="89"/>
  <c r="N10" i="89"/>
  <c r="G14" i="89"/>
  <c r="F14" i="89"/>
  <c r="N11" i="88"/>
  <c r="N10" i="88"/>
  <c r="N5" i="88"/>
  <c r="P14" i="88"/>
  <c r="L14" i="88"/>
  <c r="N4" i="88"/>
  <c r="M14" i="88"/>
  <c r="N6" i="88"/>
  <c r="N9" i="88"/>
  <c r="G14" i="88"/>
  <c r="N8" i="88"/>
  <c r="F14" i="88"/>
  <c r="O14" i="88"/>
  <c r="F20" i="87"/>
  <c r="G20" i="87"/>
  <c r="F21" i="87"/>
  <c r="D21" i="87"/>
  <c r="D20" i="87"/>
  <c r="O12" i="87"/>
  <c r="M12" i="87"/>
  <c r="L12" i="87"/>
  <c r="J12" i="87"/>
  <c r="F12" i="87"/>
  <c r="D12" i="87"/>
  <c r="O11" i="87"/>
  <c r="M11" i="87"/>
  <c r="L11" i="87"/>
  <c r="J11" i="87"/>
  <c r="F11" i="87"/>
  <c r="D11" i="87"/>
  <c r="N11" i="87" s="1"/>
  <c r="O10" i="87"/>
  <c r="M10" i="87"/>
  <c r="L10" i="87"/>
  <c r="J10" i="87"/>
  <c r="F10" i="87"/>
  <c r="D10" i="87"/>
  <c r="O9" i="87"/>
  <c r="M9" i="87"/>
  <c r="L9" i="87"/>
  <c r="J9" i="87"/>
  <c r="F9" i="87"/>
  <c r="D9" i="87"/>
  <c r="O8" i="87"/>
  <c r="M8" i="87"/>
  <c r="L8" i="87"/>
  <c r="J8" i="87"/>
  <c r="F8" i="87"/>
  <c r="D8" i="87"/>
  <c r="O7" i="87"/>
  <c r="M7" i="87"/>
  <c r="L7" i="87"/>
  <c r="J7" i="87"/>
  <c r="F7" i="87"/>
  <c r="D7" i="87"/>
  <c r="N7" i="87" s="1"/>
  <c r="O6" i="87"/>
  <c r="M6" i="87"/>
  <c r="L6" i="87"/>
  <c r="J6" i="87"/>
  <c r="F6" i="87"/>
  <c r="D6" i="87"/>
  <c r="O5" i="87"/>
  <c r="M5" i="87"/>
  <c r="L5" i="87"/>
  <c r="J5" i="87"/>
  <c r="F5" i="87"/>
  <c r="D5" i="87"/>
  <c r="O4" i="87"/>
  <c r="M4" i="87"/>
  <c r="L4" i="87"/>
  <c r="J4" i="87"/>
  <c r="F4" i="87"/>
  <c r="D4" i="87"/>
  <c r="D10" i="86"/>
  <c r="F23" i="86"/>
  <c r="D23" i="86"/>
  <c r="F22" i="86"/>
  <c r="D22" i="86"/>
  <c r="F21" i="86"/>
  <c r="D21" i="86"/>
  <c r="F20" i="86"/>
  <c r="D20" i="86"/>
  <c r="O12" i="86"/>
  <c r="M12" i="86"/>
  <c r="L12" i="86"/>
  <c r="J12" i="86"/>
  <c r="F12" i="86"/>
  <c r="D12" i="86"/>
  <c r="O11" i="86"/>
  <c r="M11" i="86"/>
  <c r="L11" i="86"/>
  <c r="J11" i="86"/>
  <c r="F11" i="86"/>
  <c r="D11" i="86"/>
  <c r="O10" i="86"/>
  <c r="M10" i="86"/>
  <c r="L10" i="86"/>
  <c r="J10" i="86"/>
  <c r="F10" i="86"/>
  <c r="O9" i="86"/>
  <c r="M9" i="86"/>
  <c r="L9" i="86"/>
  <c r="J9" i="86"/>
  <c r="F9" i="86"/>
  <c r="D9" i="86"/>
  <c r="N9" i="86" s="1"/>
  <c r="O8" i="86"/>
  <c r="M8" i="86"/>
  <c r="L8" i="86"/>
  <c r="J8" i="86"/>
  <c r="F8" i="86"/>
  <c r="D8" i="86"/>
  <c r="O7" i="86"/>
  <c r="M7" i="86"/>
  <c r="L7" i="86"/>
  <c r="J7" i="86"/>
  <c r="F7" i="86"/>
  <c r="D7" i="86"/>
  <c r="O6" i="86"/>
  <c r="M6" i="86"/>
  <c r="L6" i="86"/>
  <c r="J6" i="86"/>
  <c r="F6" i="86"/>
  <c r="D6" i="86"/>
  <c r="O5" i="86"/>
  <c r="M5" i="86"/>
  <c r="L5" i="86"/>
  <c r="J5" i="86"/>
  <c r="F5" i="86"/>
  <c r="D5" i="86"/>
  <c r="O4" i="86"/>
  <c r="M4" i="86"/>
  <c r="L4" i="86"/>
  <c r="J4" i="86"/>
  <c r="F4" i="86"/>
  <c r="D4" i="86"/>
  <c r="F23" i="85"/>
  <c r="D23" i="85"/>
  <c r="F22" i="85"/>
  <c r="D22" i="85"/>
  <c r="F21" i="85"/>
  <c r="D21" i="85"/>
  <c r="F20" i="85"/>
  <c r="D20" i="85"/>
  <c r="O12" i="85"/>
  <c r="M12" i="85"/>
  <c r="L12" i="85"/>
  <c r="J12" i="85"/>
  <c r="F12" i="85"/>
  <c r="D12" i="85"/>
  <c r="O11" i="85"/>
  <c r="M11" i="85"/>
  <c r="L11" i="85"/>
  <c r="J11" i="85"/>
  <c r="F11" i="85"/>
  <c r="D11" i="85"/>
  <c r="N11" i="85" s="1"/>
  <c r="O10" i="85"/>
  <c r="M10" i="85"/>
  <c r="L10" i="85"/>
  <c r="J10" i="85"/>
  <c r="F10" i="85"/>
  <c r="D10" i="85"/>
  <c r="O9" i="85"/>
  <c r="M9" i="85"/>
  <c r="L9" i="85"/>
  <c r="J9" i="85"/>
  <c r="F9" i="85"/>
  <c r="D9" i="85"/>
  <c r="N9" i="85" s="1"/>
  <c r="O8" i="85"/>
  <c r="M8" i="85"/>
  <c r="L8" i="85"/>
  <c r="J8" i="85"/>
  <c r="F8" i="85"/>
  <c r="D8" i="85"/>
  <c r="O7" i="85"/>
  <c r="M7" i="85"/>
  <c r="L7" i="85"/>
  <c r="J7" i="85"/>
  <c r="F7" i="85"/>
  <c r="D7" i="85"/>
  <c r="O6" i="85"/>
  <c r="M6" i="85"/>
  <c r="L6" i="85"/>
  <c r="J6" i="85"/>
  <c r="F6" i="85"/>
  <c r="D6" i="85"/>
  <c r="O5" i="85"/>
  <c r="M5" i="85"/>
  <c r="L5" i="85"/>
  <c r="J5" i="85"/>
  <c r="F5" i="85"/>
  <c r="D5" i="85"/>
  <c r="O4" i="85"/>
  <c r="M4" i="85"/>
  <c r="L4" i="85"/>
  <c r="J4" i="85"/>
  <c r="F4" i="85"/>
  <c r="D4" i="85"/>
  <c r="L4" i="84"/>
  <c r="O11" i="84"/>
  <c r="D22" i="84"/>
  <c r="F22" i="84"/>
  <c r="D23" i="84"/>
  <c r="F23" i="84"/>
  <c r="F21" i="84"/>
  <c r="D21" i="84"/>
  <c r="F20" i="84"/>
  <c r="D20" i="84"/>
  <c r="O12" i="84"/>
  <c r="M12" i="84"/>
  <c r="L12" i="84"/>
  <c r="J12" i="84"/>
  <c r="F12" i="84"/>
  <c r="D12" i="84"/>
  <c r="M11" i="84"/>
  <c r="L11" i="84"/>
  <c r="J11" i="84"/>
  <c r="F11" i="84"/>
  <c r="D11" i="84"/>
  <c r="O10" i="84"/>
  <c r="M10" i="84"/>
  <c r="L10" i="84"/>
  <c r="J10" i="84"/>
  <c r="F10" i="84"/>
  <c r="D10" i="84"/>
  <c r="N10" i="84" s="1"/>
  <c r="O9" i="84"/>
  <c r="M9" i="84"/>
  <c r="L9" i="84"/>
  <c r="J9" i="84"/>
  <c r="F9" i="84"/>
  <c r="D9" i="84"/>
  <c r="O8" i="84"/>
  <c r="M8" i="84"/>
  <c r="L8" i="84"/>
  <c r="J8" i="84"/>
  <c r="F8" i="84"/>
  <c r="D8" i="84"/>
  <c r="O7" i="84"/>
  <c r="M7" i="84"/>
  <c r="L7" i="84"/>
  <c r="J7" i="84"/>
  <c r="F7" i="84"/>
  <c r="D7" i="84"/>
  <c r="O6" i="84"/>
  <c r="M6" i="84"/>
  <c r="L6" i="84"/>
  <c r="J6" i="84"/>
  <c r="F6" i="84"/>
  <c r="D6" i="84"/>
  <c r="O5" i="84"/>
  <c r="M5" i="84"/>
  <c r="L5" i="84"/>
  <c r="J5" i="84"/>
  <c r="F5" i="84"/>
  <c r="D5" i="84"/>
  <c r="O4" i="84"/>
  <c r="M4" i="84"/>
  <c r="J4" i="84"/>
  <c r="F4" i="84"/>
  <c r="D4" i="84"/>
  <c r="F21" i="83"/>
  <c r="D21" i="83"/>
  <c r="F20" i="83"/>
  <c r="D20" i="83"/>
  <c r="O12" i="83"/>
  <c r="M12" i="83"/>
  <c r="L12" i="83"/>
  <c r="J12" i="83"/>
  <c r="F12" i="83"/>
  <c r="D12" i="83"/>
  <c r="O11" i="83"/>
  <c r="M11" i="83"/>
  <c r="L11" i="83"/>
  <c r="J11" i="83"/>
  <c r="F11" i="83"/>
  <c r="D11" i="83"/>
  <c r="O10" i="83"/>
  <c r="M10" i="83"/>
  <c r="L10" i="83"/>
  <c r="J10" i="83"/>
  <c r="F10" i="83"/>
  <c r="D10" i="83"/>
  <c r="O9" i="83"/>
  <c r="M9" i="83"/>
  <c r="L9" i="83"/>
  <c r="J9" i="83"/>
  <c r="F9" i="83"/>
  <c r="D9" i="83"/>
  <c r="O8" i="83"/>
  <c r="M8" i="83"/>
  <c r="L8" i="83"/>
  <c r="J8" i="83"/>
  <c r="F8" i="83"/>
  <c r="D8" i="83"/>
  <c r="O7" i="83"/>
  <c r="M7" i="83"/>
  <c r="L7" i="83"/>
  <c r="J7" i="83"/>
  <c r="F7" i="83"/>
  <c r="D7" i="83"/>
  <c r="O6" i="83"/>
  <c r="M6" i="83"/>
  <c r="L6" i="83"/>
  <c r="J6" i="83"/>
  <c r="F6" i="83"/>
  <c r="D6" i="83"/>
  <c r="O5" i="83"/>
  <c r="M5" i="83"/>
  <c r="L5" i="83"/>
  <c r="J5" i="83"/>
  <c r="F5" i="83"/>
  <c r="D5" i="83"/>
  <c r="O4" i="83"/>
  <c r="M4" i="83"/>
  <c r="L4" i="83"/>
  <c r="J4" i="83"/>
  <c r="F4" i="83"/>
  <c r="D4" i="83"/>
  <c r="L1" i="83"/>
  <c r="N14" i="90" l="1"/>
  <c r="N14" i="89"/>
  <c r="N14" i="88"/>
  <c r="N10" i="87"/>
  <c r="N9" i="87"/>
  <c r="N5" i="87"/>
  <c r="M14" i="87"/>
  <c r="N4" i="87"/>
  <c r="N8" i="87"/>
  <c r="N12" i="87"/>
  <c r="O14" i="87"/>
  <c r="N6" i="87"/>
  <c r="P14" i="87"/>
  <c r="G14" i="87"/>
  <c r="L14" i="87"/>
  <c r="F14" i="87"/>
  <c r="N11" i="86"/>
  <c r="G14" i="86"/>
  <c r="N7" i="86"/>
  <c r="L14" i="86"/>
  <c r="M14" i="86"/>
  <c r="N5" i="86"/>
  <c r="P14" i="86"/>
  <c r="N4" i="86"/>
  <c r="N8" i="86"/>
  <c r="N12" i="86"/>
  <c r="O14" i="86"/>
  <c r="N10" i="86"/>
  <c r="F14" i="86"/>
  <c r="N6" i="86"/>
  <c r="N7" i="85"/>
  <c r="N6" i="85"/>
  <c r="F14" i="85"/>
  <c r="N4" i="85"/>
  <c r="M14" i="85"/>
  <c r="N8" i="85"/>
  <c r="O14" i="85"/>
  <c r="N12" i="85"/>
  <c r="N10" i="85"/>
  <c r="G14" i="85"/>
  <c r="L14" i="85"/>
  <c r="N5" i="85"/>
  <c r="P14" i="85"/>
  <c r="N11" i="84"/>
  <c r="N7" i="84"/>
  <c r="L14" i="84"/>
  <c r="P14" i="84"/>
  <c r="N6" i="84"/>
  <c r="M14" i="84"/>
  <c r="N5" i="84"/>
  <c r="N9" i="84"/>
  <c r="N4" i="84"/>
  <c r="N8" i="84"/>
  <c r="N12" i="84"/>
  <c r="O14" i="84"/>
  <c r="G14" i="84"/>
  <c r="F14" i="84"/>
  <c r="M14" i="83"/>
  <c r="N12" i="83"/>
  <c r="N9" i="83"/>
  <c r="N7" i="83"/>
  <c r="N5" i="83"/>
  <c r="L14" i="83"/>
  <c r="N6" i="83"/>
  <c r="N10" i="83"/>
  <c r="P14" i="83"/>
  <c r="N8" i="83"/>
  <c r="N11" i="83"/>
  <c r="G14" i="83"/>
  <c r="N4" i="83"/>
  <c r="F14" i="83"/>
  <c r="O14" i="83"/>
  <c r="L8" i="82"/>
  <c r="F21" i="82"/>
  <c r="D21" i="82"/>
  <c r="F20" i="82"/>
  <c r="D20" i="82"/>
  <c r="O12" i="82"/>
  <c r="M12" i="82"/>
  <c r="L12" i="82"/>
  <c r="J12" i="82"/>
  <c r="F12" i="82"/>
  <c r="D12" i="82"/>
  <c r="O11" i="82"/>
  <c r="M11" i="82"/>
  <c r="L11" i="82"/>
  <c r="J11" i="82"/>
  <c r="F11" i="82"/>
  <c r="D11" i="82"/>
  <c r="N11" i="82" s="1"/>
  <c r="O10" i="82"/>
  <c r="M10" i="82"/>
  <c r="L10" i="82"/>
  <c r="J10" i="82"/>
  <c r="F10" i="82"/>
  <c r="D10" i="82"/>
  <c r="O9" i="82"/>
  <c r="N9" i="82"/>
  <c r="M9" i="82"/>
  <c r="L9" i="82"/>
  <c r="J9" i="82"/>
  <c r="F9" i="82"/>
  <c r="D9" i="82"/>
  <c r="O8" i="82"/>
  <c r="M8" i="82"/>
  <c r="J8" i="82"/>
  <c r="F8" i="82"/>
  <c r="D8" i="82"/>
  <c r="O7" i="82"/>
  <c r="M7" i="82"/>
  <c r="L7" i="82"/>
  <c r="J7" i="82"/>
  <c r="F7" i="82"/>
  <c r="D7" i="82"/>
  <c r="O6" i="82"/>
  <c r="M6" i="82"/>
  <c r="L6" i="82"/>
  <c r="J6" i="82"/>
  <c r="F6" i="82"/>
  <c r="D6" i="82"/>
  <c r="O5" i="82"/>
  <c r="M5" i="82"/>
  <c r="L5" i="82"/>
  <c r="J5" i="82"/>
  <c r="F5" i="82"/>
  <c r="D5" i="82"/>
  <c r="O4" i="82"/>
  <c r="M4" i="82"/>
  <c r="L4" i="82"/>
  <c r="J4" i="82"/>
  <c r="F4" i="82"/>
  <c r="D4" i="82"/>
  <c r="N4" i="82" s="1"/>
  <c r="L1" i="82"/>
  <c r="L5" i="81"/>
  <c r="D21" i="81"/>
  <c r="F21" i="81"/>
  <c r="M6" i="81"/>
  <c r="F14" i="75"/>
  <c r="F20" i="81"/>
  <c r="D20" i="81"/>
  <c r="O12" i="81"/>
  <c r="M12" i="81"/>
  <c r="L12" i="81"/>
  <c r="J12" i="81"/>
  <c r="F12" i="81"/>
  <c r="D12" i="81"/>
  <c r="O11" i="81"/>
  <c r="M11" i="81"/>
  <c r="L11" i="81"/>
  <c r="J11" i="81"/>
  <c r="F11" i="81"/>
  <c r="D11" i="81"/>
  <c r="O10" i="81"/>
  <c r="M10" i="81"/>
  <c r="L10" i="81"/>
  <c r="J10" i="81"/>
  <c r="F10" i="81"/>
  <c r="D10" i="81"/>
  <c r="O9" i="81"/>
  <c r="M9" i="81"/>
  <c r="L9" i="81"/>
  <c r="J9" i="81"/>
  <c r="F9" i="81"/>
  <c r="D9" i="81"/>
  <c r="O8" i="81"/>
  <c r="M8" i="81"/>
  <c r="L8" i="81"/>
  <c r="J8" i="81"/>
  <c r="N8" i="81" s="1"/>
  <c r="F8" i="81"/>
  <c r="D8" i="81"/>
  <c r="O7" i="81"/>
  <c r="M7" i="81"/>
  <c r="L7" i="81"/>
  <c r="J7" i="81"/>
  <c r="F7" i="81"/>
  <c r="D7" i="81"/>
  <c r="O6" i="81"/>
  <c r="L6" i="81"/>
  <c r="J6" i="81"/>
  <c r="F6" i="81"/>
  <c r="D6" i="81"/>
  <c r="O5" i="81"/>
  <c r="M5" i="81"/>
  <c r="J5" i="81"/>
  <c r="F5" i="81"/>
  <c r="D5" i="81"/>
  <c r="O4" i="81"/>
  <c r="M4" i="81"/>
  <c r="L4" i="81"/>
  <c r="J4" i="81"/>
  <c r="F4" i="81"/>
  <c r="D4" i="81"/>
  <c r="N4" i="81" s="1"/>
  <c r="L1" i="81"/>
  <c r="F17" i="80"/>
  <c r="N9" i="80"/>
  <c r="L14" i="79"/>
  <c r="M14" i="79"/>
  <c r="N14" i="79"/>
  <c r="M9" i="80"/>
  <c r="L9" i="80"/>
  <c r="D17" i="80"/>
  <c r="O12" i="80"/>
  <c r="M12" i="80"/>
  <c r="L12" i="80"/>
  <c r="J12" i="80"/>
  <c r="F12" i="80"/>
  <c r="D12" i="80"/>
  <c r="N12" i="80" s="1"/>
  <c r="O11" i="80"/>
  <c r="M11" i="80"/>
  <c r="L11" i="80"/>
  <c r="J11" i="80"/>
  <c r="F11" i="80"/>
  <c r="D11" i="80"/>
  <c r="O10" i="80"/>
  <c r="M10" i="80"/>
  <c r="L10" i="80"/>
  <c r="J10" i="80"/>
  <c r="F10" i="80"/>
  <c r="F14" i="80" s="1"/>
  <c r="D10" i="80"/>
  <c r="O9" i="80"/>
  <c r="J9" i="80"/>
  <c r="F9" i="80"/>
  <c r="D9" i="80"/>
  <c r="O8" i="80"/>
  <c r="M8" i="80"/>
  <c r="L8" i="80"/>
  <c r="J8" i="80"/>
  <c r="F8" i="80"/>
  <c r="D8" i="80"/>
  <c r="O7" i="80"/>
  <c r="M7" i="80"/>
  <c r="L7" i="80"/>
  <c r="J7" i="80"/>
  <c r="F7" i="80"/>
  <c r="D7" i="80"/>
  <c r="O6" i="80"/>
  <c r="M6" i="80"/>
  <c r="L6" i="80"/>
  <c r="J6" i="80"/>
  <c r="N6" i="80" s="1"/>
  <c r="F6" i="80"/>
  <c r="D6" i="80"/>
  <c r="O5" i="80"/>
  <c r="M5" i="80"/>
  <c r="J5" i="80"/>
  <c r="F5" i="80"/>
  <c r="D5" i="80"/>
  <c r="O4" i="80"/>
  <c r="M4" i="80"/>
  <c r="L4" i="80"/>
  <c r="J4" i="80"/>
  <c r="F4" i="80"/>
  <c r="D4" i="80"/>
  <c r="N4" i="80" s="1"/>
  <c r="L1" i="80"/>
  <c r="J7" i="79"/>
  <c r="F17" i="79"/>
  <c r="D17" i="79"/>
  <c r="O12" i="79"/>
  <c r="M12" i="79"/>
  <c r="L12" i="79"/>
  <c r="J12" i="79"/>
  <c r="F12" i="79"/>
  <c r="D12" i="79"/>
  <c r="O11" i="79"/>
  <c r="M11" i="79"/>
  <c r="L11" i="79"/>
  <c r="J11" i="79"/>
  <c r="F11" i="79"/>
  <c r="D11" i="79"/>
  <c r="O10" i="79"/>
  <c r="M10" i="79"/>
  <c r="L10" i="79"/>
  <c r="J10" i="79"/>
  <c r="F10" i="79"/>
  <c r="D10" i="79"/>
  <c r="O9" i="79"/>
  <c r="J9" i="79"/>
  <c r="F9" i="79"/>
  <c r="D9" i="79"/>
  <c r="O8" i="79"/>
  <c r="M8" i="79"/>
  <c r="L8" i="79"/>
  <c r="J8" i="79"/>
  <c r="F8" i="79"/>
  <c r="D8" i="79"/>
  <c r="O7" i="79"/>
  <c r="M7" i="79"/>
  <c r="L7" i="79"/>
  <c r="F7" i="79"/>
  <c r="D7" i="79"/>
  <c r="O6" i="79"/>
  <c r="M6" i="79"/>
  <c r="L6" i="79"/>
  <c r="J6" i="79"/>
  <c r="F6" i="79"/>
  <c r="D6" i="79"/>
  <c r="O5" i="79"/>
  <c r="M5" i="79"/>
  <c r="L5" i="79"/>
  <c r="J5" i="79"/>
  <c r="F5" i="79"/>
  <c r="D5" i="79"/>
  <c r="O4" i="79"/>
  <c r="M4" i="79"/>
  <c r="L4" i="79"/>
  <c r="J4" i="79"/>
  <c r="F4" i="79"/>
  <c r="D4" i="79"/>
  <c r="N4" i="79" s="1"/>
  <c r="L1" i="79"/>
  <c r="L1" i="77"/>
  <c r="L5" i="78"/>
  <c r="L9" i="78"/>
  <c r="N14" i="78"/>
  <c r="M14" i="78"/>
  <c r="L14" i="78"/>
  <c r="N14" i="77"/>
  <c r="M14" i="77"/>
  <c r="L14" i="77"/>
  <c r="N6" i="77"/>
  <c r="F17" i="78"/>
  <c r="D17" i="78"/>
  <c r="O12" i="78"/>
  <c r="M12" i="78"/>
  <c r="L12" i="78"/>
  <c r="J12" i="78"/>
  <c r="F12" i="78"/>
  <c r="D12" i="78"/>
  <c r="N12" i="78" s="1"/>
  <c r="O11" i="78"/>
  <c r="M11" i="78"/>
  <c r="L11" i="78"/>
  <c r="J11" i="78"/>
  <c r="F11" i="78"/>
  <c r="D11" i="78"/>
  <c r="N11" i="78" s="1"/>
  <c r="O10" i="78"/>
  <c r="O14" i="78" s="1"/>
  <c r="N10" i="78"/>
  <c r="M10" i="78"/>
  <c r="L10" i="78"/>
  <c r="J10" i="78"/>
  <c r="F10" i="78"/>
  <c r="D10" i="78"/>
  <c r="O9" i="78"/>
  <c r="N9" i="78"/>
  <c r="M9" i="78"/>
  <c r="J9" i="78"/>
  <c r="F9" i="78"/>
  <c r="D9" i="78"/>
  <c r="O8" i="78"/>
  <c r="N8" i="78"/>
  <c r="M8" i="78"/>
  <c r="L8" i="78"/>
  <c r="J8" i="78"/>
  <c r="F8" i="78"/>
  <c r="D8" i="78"/>
  <c r="O7" i="78"/>
  <c r="M7" i="78"/>
  <c r="L7" i="78"/>
  <c r="J7" i="78"/>
  <c r="N7" i="78" s="1"/>
  <c r="F7" i="78"/>
  <c r="D7" i="78"/>
  <c r="O6" i="78"/>
  <c r="M6" i="78"/>
  <c r="L6" i="78"/>
  <c r="J6" i="78"/>
  <c r="N6" i="78" s="1"/>
  <c r="F6" i="78"/>
  <c r="F14" i="78" s="1"/>
  <c r="D6" i="78"/>
  <c r="O5" i="78"/>
  <c r="M5" i="78"/>
  <c r="J5" i="78"/>
  <c r="F5" i="78"/>
  <c r="G14" i="78" s="1"/>
  <c r="D5" i="78"/>
  <c r="N5" i="78" s="1"/>
  <c r="O4" i="78"/>
  <c r="M4" i="78"/>
  <c r="L4" i="78"/>
  <c r="J4" i="78"/>
  <c r="F4" i="78"/>
  <c r="D4" i="78"/>
  <c r="N4" i="78" s="1"/>
  <c r="F17" i="77"/>
  <c r="D17" i="77"/>
  <c r="O12" i="77"/>
  <c r="M12" i="77"/>
  <c r="L12" i="77"/>
  <c r="J12" i="77"/>
  <c r="F12" i="77"/>
  <c r="D12" i="77"/>
  <c r="O11" i="77"/>
  <c r="M11" i="77"/>
  <c r="L11" i="77"/>
  <c r="J11" i="77"/>
  <c r="F11" i="77"/>
  <c r="D11" i="77"/>
  <c r="O10" i="77"/>
  <c r="M10" i="77"/>
  <c r="L10" i="77"/>
  <c r="J10" i="77"/>
  <c r="F10" i="77"/>
  <c r="D10" i="77"/>
  <c r="O9" i="77"/>
  <c r="M9" i="77"/>
  <c r="L9" i="77"/>
  <c r="J9" i="77"/>
  <c r="F9" i="77"/>
  <c r="D9" i="77"/>
  <c r="O8" i="77"/>
  <c r="M8" i="77"/>
  <c r="L8" i="77"/>
  <c r="J8" i="77"/>
  <c r="F8" i="77"/>
  <c r="D8" i="77"/>
  <c r="O7" i="77"/>
  <c r="M7" i="77"/>
  <c r="L7" i="77"/>
  <c r="J7" i="77"/>
  <c r="F7" i="77"/>
  <c r="D7" i="77"/>
  <c r="O6" i="77"/>
  <c r="M6" i="77"/>
  <c r="L6" i="77"/>
  <c r="J6" i="77"/>
  <c r="F6" i="77"/>
  <c r="D6" i="77"/>
  <c r="O5" i="77"/>
  <c r="M5" i="77"/>
  <c r="L5" i="77"/>
  <c r="J5" i="77"/>
  <c r="F5" i="77"/>
  <c r="D5" i="77"/>
  <c r="O4" i="77"/>
  <c r="M4" i="77"/>
  <c r="L4" i="77"/>
  <c r="J4" i="77"/>
  <c r="F4" i="77"/>
  <c r="D4" i="77"/>
  <c r="N4" i="76"/>
  <c r="L4" i="75"/>
  <c r="F17" i="76"/>
  <c r="D17" i="76"/>
  <c r="O12" i="76"/>
  <c r="M12" i="76"/>
  <c r="L12" i="76"/>
  <c r="J12" i="76"/>
  <c r="F12" i="76"/>
  <c r="D12" i="76"/>
  <c r="O11" i="76"/>
  <c r="M11" i="76"/>
  <c r="L11" i="76"/>
  <c r="J11" i="76"/>
  <c r="F11" i="76"/>
  <c r="D11" i="76"/>
  <c r="O10" i="76"/>
  <c r="M10" i="76"/>
  <c r="L10" i="76"/>
  <c r="J10" i="76"/>
  <c r="F10" i="76"/>
  <c r="D10" i="76"/>
  <c r="O9" i="76"/>
  <c r="M9" i="76"/>
  <c r="L9" i="76"/>
  <c r="J9" i="76"/>
  <c r="F9" i="76"/>
  <c r="D9" i="76"/>
  <c r="O8" i="76"/>
  <c r="M8" i="76"/>
  <c r="L8" i="76"/>
  <c r="J8" i="76"/>
  <c r="N8" i="76" s="1"/>
  <c r="F8" i="76"/>
  <c r="D8" i="76"/>
  <c r="O7" i="76"/>
  <c r="M7" i="76"/>
  <c r="L7" i="76"/>
  <c r="J7" i="76"/>
  <c r="F7" i="76"/>
  <c r="D7" i="76"/>
  <c r="O6" i="76"/>
  <c r="M6" i="76"/>
  <c r="L6" i="76"/>
  <c r="J6" i="76"/>
  <c r="F6" i="76"/>
  <c r="D6" i="76"/>
  <c r="O5" i="76"/>
  <c r="M5" i="76"/>
  <c r="L5" i="76"/>
  <c r="J5" i="76"/>
  <c r="F5" i="76"/>
  <c r="D5" i="76"/>
  <c r="O4" i="76"/>
  <c r="M4" i="76"/>
  <c r="L4" i="76"/>
  <c r="J4" i="76"/>
  <c r="F4" i="76"/>
  <c r="D4" i="76"/>
  <c r="F17" i="75"/>
  <c r="D17" i="75"/>
  <c r="O12" i="75"/>
  <c r="M12" i="75"/>
  <c r="L12" i="75"/>
  <c r="J12" i="75"/>
  <c r="F12" i="75"/>
  <c r="D12" i="75"/>
  <c r="O11" i="75"/>
  <c r="M11" i="75"/>
  <c r="L11" i="75"/>
  <c r="J11" i="75"/>
  <c r="F11" i="75"/>
  <c r="D11" i="75"/>
  <c r="O10" i="75"/>
  <c r="M10" i="75"/>
  <c r="L10" i="75"/>
  <c r="J10" i="75"/>
  <c r="F10" i="75"/>
  <c r="D10" i="75"/>
  <c r="N10" i="75" s="1"/>
  <c r="O9" i="75"/>
  <c r="M9" i="75"/>
  <c r="L9" i="75"/>
  <c r="J9" i="75"/>
  <c r="F9" i="75"/>
  <c r="D9" i="75"/>
  <c r="O8" i="75"/>
  <c r="M8" i="75"/>
  <c r="L8" i="75"/>
  <c r="J8" i="75"/>
  <c r="F8" i="75"/>
  <c r="D8" i="75"/>
  <c r="O7" i="75"/>
  <c r="M7" i="75"/>
  <c r="L7" i="75"/>
  <c r="J7" i="75"/>
  <c r="F7" i="75"/>
  <c r="D7" i="75"/>
  <c r="N7" i="75" s="1"/>
  <c r="O6" i="75"/>
  <c r="M6" i="75"/>
  <c r="L6" i="75"/>
  <c r="J6" i="75"/>
  <c r="F6" i="75"/>
  <c r="D6" i="75"/>
  <c r="O5" i="75"/>
  <c r="M5" i="75"/>
  <c r="L5" i="75"/>
  <c r="J5" i="75"/>
  <c r="F5" i="75"/>
  <c r="D5" i="75"/>
  <c r="O4" i="75"/>
  <c r="M4" i="75"/>
  <c r="J4" i="75"/>
  <c r="F4" i="75"/>
  <c r="D4" i="75"/>
  <c r="J7" i="74"/>
  <c r="M4" i="71"/>
  <c r="L4" i="71"/>
  <c r="N12" i="73"/>
  <c r="M12" i="73"/>
  <c r="L12" i="73"/>
  <c r="N11" i="73"/>
  <c r="M11" i="73"/>
  <c r="L11" i="73"/>
  <c r="N10" i="73"/>
  <c r="M10" i="73"/>
  <c r="L10" i="73"/>
  <c r="N9" i="73"/>
  <c r="M9" i="73"/>
  <c r="L9" i="73"/>
  <c r="N8" i="73"/>
  <c r="M8" i="73"/>
  <c r="L8" i="73"/>
  <c r="N7" i="73"/>
  <c r="M7" i="73"/>
  <c r="L7" i="73"/>
  <c r="N6" i="73"/>
  <c r="M6" i="73"/>
  <c r="L6" i="73"/>
  <c r="N5" i="73"/>
  <c r="M5" i="73"/>
  <c r="L5" i="73"/>
  <c r="N4" i="73"/>
  <c r="M4" i="73"/>
  <c r="L4" i="73"/>
  <c r="N12" i="74"/>
  <c r="M12" i="74"/>
  <c r="L12" i="74"/>
  <c r="M11" i="74"/>
  <c r="L11" i="74"/>
  <c r="M10" i="74"/>
  <c r="L10" i="74"/>
  <c r="M9" i="74"/>
  <c r="L9" i="74"/>
  <c r="M8" i="74"/>
  <c r="L8" i="74"/>
  <c r="M7" i="74"/>
  <c r="L7" i="74"/>
  <c r="M6" i="74"/>
  <c r="L6" i="74"/>
  <c r="N5" i="74"/>
  <c r="M5" i="74"/>
  <c r="L5" i="74"/>
  <c r="M4" i="74"/>
  <c r="L4" i="74"/>
  <c r="W14" i="72"/>
  <c r="F17" i="74"/>
  <c r="D17" i="74"/>
  <c r="O12" i="74"/>
  <c r="J12" i="74"/>
  <c r="F12" i="74"/>
  <c r="D12" i="74"/>
  <c r="O11" i="74"/>
  <c r="J11" i="74"/>
  <c r="N11" i="74" s="1"/>
  <c r="F11" i="74"/>
  <c r="D11" i="74"/>
  <c r="O10" i="74"/>
  <c r="J10" i="74"/>
  <c r="F10" i="74"/>
  <c r="D10" i="74"/>
  <c r="O9" i="74"/>
  <c r="J9" i="74"/>
  <c r="N9" i="74" s="1"/>
  <c r="F9" i="74"/>
  <c r="D9" i="74"/>
  <c r="O8" i="74"/>
  <c r="J8" i="74"/>
  <c r="F8" i="74"/>
  <c r="D8" i="74"/>
  <c r="O7" i="74"/>
  <c r="F7" i="74"/>
  <c r="D7" i="74"/>
  <c r="O6" i="74"/>
  <c r="J6" i="74"/>
  <c r="F6" i="74"/>
  <c r="D6" i="74"/>
  <c r="N6" i="74" s="1"/>
  <c r="O5" i="74"/>
  <c r="J5" i="74"/>
  <c r="F5" i="74"/>
  <c r="D5" i="74"/>
  <c r="O4" i="74"/>
  <c r="J4" i="74"/>
  <c r="F4" i="74"/>
  <c r="D4" i="74"/>
  <c r="N4" i="74" s="1"/>
  <c r="F17" i="73"/>
  <c r="D17" i="73"/>
  <c r="O12" i="73"/>
  <c r="J12" i="73"/>
  <c r="F12" i="73"/>
  <c r="D12" i="73"/>
  <c r="O11" i="73"/>
  <c r="J11" i="73"/>
  <c r="F11" i="73"/>
  <c r="D11" i="73"/>
  <c r="O10" i="73"/>
  <c r="J10" i="73"/>
  <c r="F10" i="73"/>
  <c r="D10" i="73"/>
  <c r="O9" i="73"/>
  <c r="J9" i="73"/>
  <c r="F9" i="73"/>
  <c r="D9" i="73"/>
  <c r="O8" i="73"/>
  <c r="J8" i="73"/>
  <c r="F8" i="73"/>
  <c r="D8" i="73"/>
  <c r="O7" i="73"/>
  <c r="J7" i="73"/>
  <c r="F7" i="73"/>
  <c r="D7" i="73"/>
  <c r="O6" i="73"/>
  <c r="J6" i="73"/>
  <c r="F6" i="73"/>
  <c r="D6" i="73"/>
  <c r="O5" i="73"/>
  <c r="J5" i="73"/>
  <c r="F5" i="73"/>
  <c r="D5" i="73"/>
  <c r="O4" i="73"/>
  <c r="J4" i="73"/>
  <c r="F4" i="73"/>
  <c r="D4" i="73"/>
  <c r="N14" i="87" l="1"/>
  <c r="N14" i="86"/>
  <c r="N14" i="85"/>
  <c r="N14" i="84"/>
  <c r="N14" i="83"/>
  <c r="N8" i="82"/>
  <c r="N6" i="82"/>
  <c r="N10" i="82"/>
  <c r="L14" i="82"/>
  <c r="O14" i="82"/>
  <c r="N12" i="82"/>
  <c r="N7" i="82"/>
  <c r="G14" i="82"/>
  <c r="N5" i="82"/>
  <c r="M14" i="82"/>
  <c r="F14" i="82"/>
  <c r="P14" i="82"/>
  <c r="N12" i="81"/>
  <c r="N10" i="81"/>
  <c r="N9" i="81"/>
  <c r="N5" i="81"/>
  <c r="N11" i="81"/>
  <c r="P14" i="81"/>
  <c r="N7" i="81"/>
  <c r="G14" i="81"/>
  <c r="L14" i="81"/>
  <c r="M14" i="81"/>
  <c r="F14" i="81"/>
  <c r="O14" i="81"/>
  <c r="P14" i="80"/>
  <c r="O14" i="80"/>
  <c r="L14" i="80"/>
  <c r="N5" i="80"/>
  <c r="N8" i="80"/>
  <c r="G14" i="80"/>
  <c r="N11" i="80"/>
  <c r="N7" i="80"/>
  <c r="N10" i="80"/>
  <c r="M14" i="80"/>
  <c r="N6" i="79"/>
  <c r="N12" i="79"/>
  <c r="O14" i="79"/>
  <c r="N10" i="79"/>
  <c r="N8" i="79"/>
  <c r="N11" i="79"/>
  <c r="P14" i="79"/>
  <c r="N5" i="79"/>
  <c r="N7" i="79"/>
  <c r="F14" i="79"/>
  <c r="G14" i="79"/>
  <c r="N5" i="77"/>
  <c r="N7" i="77"/>
  <c r="N9" i="77"/>
  <c r="P14" i="78"/>
  <c r="N12" i="77"/>
  <c r="N11" i="77"/>
  <c r="N10" i="77"/>
  <c r="O14" i="77"/>
  <c r="P14" i="77"/>
  <c r="N4" i="77"/>
  <c r="N8" i="77"/>
  <c r="G14" i="77"/>
  <c r="F14" i="77"/>
  <c r="N12" i="76"/>
  <c r="N10" i="76"/>
  <c r="N9" i="76"/>
  <c r="N7" i="76"/>
  <c r="F14" i="76"/>
  <c r="N5" i="76"/>
  <c r="P14" i="76"/>
  <c r="O14" i="76"/>
  <c r="N11" i="76"/>
  <c r="N6" i="76"/>
  <c r="G14" i="76"/>
  <c r="N6" i="75"/>
  <c r="O14" i="75"/>
  <c r="N5" i="75"/>
  <c r="N9" i="75"/>
  <c r="P14" i="75"/>
  <c r="N4" i="75"/>
  <c r="N8" i="75"/>
  <c r="N12" i="75"/>
  <c r="G14" i="75"/>
  <c r="N11" i="75"/>
  <c r="N7" i="74"/>
  <c r="F14" i="74"/>
  <c r="N8" i="74"/>
  <c r="N10" i="74"/>
  <c r="P14" i="74"/>
  <c r="G14" i="74"/>
  <c r="O14" i="74"/>
  <c r="O14" i="73"/>
  <c r="P14" i="73"/>
  <c r="G14" i="73"/>
  <c r="F14" i="73"/>
  <c r="AF12" i="72"/>
  <c r="AE12" i="72"/>
  <c r="AD12" i="72"/>
  <c r="AC12" i="72"/>
  <c r="AF11" i="72"/>
  <c r="AE11" i="72"/>
  <c r="AD11" i="72"/>
  <c r="AC11" i="72"/>
  <c r="AF10" i="72"/>
  <c r="AE10" i="72"/>
  <c r="AD10" i="72"/>
  <c r="AC10" i="72"/>
  <c r="AF9" i="72"/>
  <c r="AE9" i="72"/>
  <c r="AD9" i="72"/>
  <c r="AC9" i="72"/>
  <c r="AF8" i="72"/>
  <c r="AE8" i="72"/>
  <c r="AD8" i="72"/>
  <c r="AC8" i="72"/>
  <c r="AF7" i="72"/>
  <c r="AE7" i="72"/>
  <c r="AD7" i="72"/>
  <c r="AC7" i="72"/>
  <c r="AF6" i="72"/>
  <c r="AE6" i="72"/>
  <c r="AD6" i="72"/>
  <c r="AC6" i="72"/>
  <c r="AF5" i="72"/>
  <c r="AE5" i="72"/>
  <c r="AD5" i="72"/>
  <c r="AC5" i="72"/>
  <c r="O12" i="72"/>
  <c r="O11" i="72"/>
  <c r="O10" i="72"/>
  <c r="O9" i="72"/>
  <c r="O8" i="72"/>
  <c r="O7" i="72"/>
  <c r="O6" i="72"/>
  <c r="O5" i="72"/>
  <c r="O4" i="72"/>
  <c r="M12" i="72"/>
  <c r="L12" i="72"/>
  <c r="M11" i="72"/>
  <c r="L11" i="72"/>
  <c r="M10" i="72"/>
  <c r="L10" i="72"/>
  <c r="M9" i="72"/>
  <c r="L9" i="72"/>
  <c r="M8" i="72"/>
  <c r="L8" i="72"/>
  <c r="M7" i="72"/>
  <c r="L7" i="72"/>
  <c r="M6" i="72"/>
  <c r="L6" i="72"/>
  <c r="M5" i="72"/>
  <c r="L5" i="72"/>
  <c r="L4" i="72"/>
  <c r="M4" i="72"/>
  <c r="F12" i="72"/>
  <c r="F11" i="72"/>
  <c r="F10" i="72"/>
  <c r="F9" i="72"/>
  <c r="F8" i="72"/>
  <c r="F7" i="72"/>
  <c r="F6" i="72"/>
  <c r="F5" i="72"/>
  <c r="F4" i="72"/>
  <c r="AA12" i="72"/>
  <c r="W12" i="72"/>
  <c r="U12" i="72"/>
  <c r="AA11" i="72"/>
  <c r="W11" i="72"/>
  <c r="U11" i="72"/>
  <c r="AA10" i="72"/>
  <c r="W10" i="72"/>
  <c r="U10" i="72"/>
  <c r="AA9" i="72"/>
  <c r="W9" i="72"/>
  <c r="U9" i="72"/>
  <c r="AA8" i="72"/>
  <c r="W8" i="72"/>
  <c r="U8" i="72"/>
  <c r="AA7" i="72"/>
  <c r="W7" i="72"/>
  <c r="U7" i="72"/>
  <c r="AA6" i="72"/>
  <c r="W6" i="72"/>
  <c r="U6" i="72"/>
  <c r="AA5" i="72"/>
  <c r="W5" i="72"/>
  <c r="U5" i="72"/>
  <c r="D4" i="72"/>
  <c r="J12" i="72"/>
  <c r="D12" i="72"/>
  <c r="J11" i="72"/>
  <c r="D11" i="72"/>
  <c r="J10" i="72"/>
  <c r="D10" i="72"/>
  <c r="N10" i="72" s="1"/>
  <c r="J9" i="72"/>
  <c r="D9" i="72"/>
  <c r="J8" i="72"/>
  <c r="D8" i="72"/>
  <c r="J7" i="72"/>
  <c r="D7" i="72"/>
  <c r="J6" i="72"/>
  <c r="D6" i="72"/>
  <c r="J5" i="72"/>
  <c r="D5" i="72"/>
  <c r="J4" i="72"/>
  <c r="F14" i="65"/>
  <c r="F5" i="65"/>
  <c r="F6" i="65"/>
  <c r="F7" i="65"/>
  <c r="G14" i="65" s="1"/>
  <c r="F8" i="65"/>
  <c r="F9" i="65"/>
  <c r="F10" i="65"/>
  <c r="F11" i="65"/>
  <c r="F12" i="65"/>
  <c r="F4" i="65"/>
  <c r="F12" i="66"/>
  <c r="F11" i="66"/>
  <c r="F10" i="66"/>
  <c r="F14" i="66" s="1"/>
  <c r="F9" i="66"/>
  <c r="F8" i="66"/>
  <c r="F7" i="66"/>
  <c r="F6" i="66"/>
  <c r="F5" i="66"/>
  <c r="F4" i="66"/>
  <c r="G14" i="66" s="1"/>
  <c r="F12" i="67"/>
  <c r="F11" i="67"/>
  <c r="F10" i="67"/>
  <c r="F9" i="67"/>
  <c r="F8" i="67"/>
  <c r="F7" i="67"/>
  <c r="F6" i="67"/>
  <c r="F5" i="67"/>
  <c r="F4" i="67"/>
  <c r="G14" i="67" s="1"/>
  <c r="F4" i="68"/>
  <c r="F12" i="68"/>
  <c r="F11" i="68"/>
  <c r="F10" i="68"/>
  <c r="F9" i="68"/>
  <c r="F8" i="68"/>
  <c r="F7" i="68"/>
  <c r="F6" i="68"/>
  <c r="F5" i="68"/>
  <c r="G14" i="68"/>
  <c r="F17" i="71"/>
  <c r="F18" i="71"/>
  <c r="F4" i="71"/>
  <c r="D18" i="71"/>
  <c r="D17" i="71"/>
  <c r="P5" i="69"/>
  <c r="P6" i="69"/>
  <c r="P7" i="69"/>
  <c r="Q14" i="69" s="1"/>
  <c r="P8" i="69"/>
  <c r="P9" i="69"/>
  <c r="P10" i="69"/>
  <c r="P11" i="69"/>
  <c r="P12" i="69"/>
  <c r="P4" i="69"/>
  <c r="O5" i="71"/>
  <c r="O6" i="71"/>
  <c r="O7" i="71"/>
  <c r="O8" i="71"/>
  <c r="O9" i="71"/>
  <c r="O10" i="71"/>
  <c r="O11" i="71"/>
  <c r="O12" i="71"/>
  <c r="O4" i="71"/>
  <c r="F5" i="71"/>
  <c r="F6" i="71"/>
  <c r="F7" i="71"/>
  <c r="F8" i="71"/>
  <c r="F9" i="71"/>
  <c r="F10" i="71"/>
  <c r="F11" i="71"/>
  <c r="F12" i="71"/>
  <c r="G14" i="69"/>
  <c r="F14" i="69"/>
  <c r="F5" i="69"/>
  <c r="F6" i="69"/>
  <c r="F7" i="69"/>
  <c r="F8" i="69"/>
  <c r="F9" i="69"/>
  <c r="F10" i="69"/>
  <c r="F11" i="69"/>
  <c r="F12" i="69"/>
  <c r="F4" i="69"/>
  <c r="D6" i="71"/>
  <c r="D5" i="71"/>
  <c r="D7" i="71"/>
  <c r="N7" i="71" s="1"/>
  <c r="D8" i="71"/>
  <c r="D9" i="71"/>
  <c r="D10" i="71"/>
  <c r="D11" i="71"/>
  <c r="D12" i="71"/>
  <c r="N12" i="71" s="1"/>
  <c r="D4" i="71"/>
  <c r="L5" i="71"/>
  <c r="M12" i="71"/>
  <c r="L12" i="71"/>
  <c r="J12" i="71"/>
  <c r="M11" i="71"/>
  <c r="L11" i="71"/>
  <c r="J11" i="71"/>
  <c r="M10" i="71"/>
  <c r="L10" i="71"/>
  <c r="J10" i="71"/>
  <c r="M9" i="71"/>
  <c r="L9" i="71"/>
  <c r="J9" i="71"/>
  <c r="M8" i="71"/>
  <c r="L8" i="71"/>
  <c r="J8" i="71"/>
  <c r="M7" i="71"/>
  <c r="L7" i="71"/>
  <c r="J7" i="71"/>
  <c r="M6" i="71"/>
  <c r="L6" i="71"/>
  <c r="J6" i="71"/>
  <c r="M5" i="71"/>
  <c r="J5" i="71"/>
  <c r="J4" i="71"/>
  <c r="N4" i="71"/>
  <c r="N12" i="66"/>
  <c r="M12" i="66"/>
  <c r="N11" i="66"/>
  <c r="M11" i="66"/>
  <c r="N10" i="66"/>
  <c r="M10" i="66"/>
  <c r="N9" i="66"/>
  <c r="M9" i="66"/>
  <c r="N8" i="66"/>
  <c r="M8" i="66"/>
  <c r="N7" i="66"/>
  <c r="M7" i="66"/>
  <c r="N6" i="66"/>
  <c r="M6" i="66"/>
  <c r="N5" i="66"/>
  <c r="M5" i="66"/>
  <c r="N4" i="66"/>
  <c r="M4" i="66"/>
  <c r="N5" i="67"/>
  <c r="M5" i="67"/>
  <c r="N4" i="67"/>
  <c r="M4" i="67"/>
  <c r="N6" i="67"/>
  <c r="M6" i="67"/>
  <c r="N12" i="68"/>
  <c r="N11" i="68"/>
  <c r="N10" i="68"/>
  <c r="N9" i="68"/>
  <c r="N8" i="68"/>
  <c r="N7" i="68"/>
  <c r="N6" i="68"/>
  <c r="N5" i="68"/>
  <c r="N4" i="68"/>
  <c r="M12" i="68"/>
  <c r="M11" i="68"/>
  <c r="M10" i="68"/>
  <c r="M9" i="68"/>
  <c r="M8" i="68"/>
  <c r="M7" i="68"/>
  <c r="M6" i="68"/>
  <c r="M5" i="68"/>
  <c r="M4" i="68"/>
  <c r="E16" i="69"/>
  <c r="N5" i="69"/>
  <c r="N4" i="69"/>
  <c r="M5" i="69"/>
  <c r="M4" i="69"/>
  <c r="D16" i="69"/>
  <c r="N12" i="69"/>
  <c r="M12" i="69"/>
  <c r="K12" i="69"/>
  <c r="D12" i="69"/>
  <c r="N11" i="69"/>
  <c r="M11" i="69"/>
  <c r="K11" i="69"/>
  <c r="D11" i="69"/>
  <c r="N10" i="69"/>
  <c r="M10" i="69"/>
  <c r="K10" i="69"/>
  <c r="D10" i="69"/>
  <c r="N9" i="69"/>
  <c r="M9" i="69"/>
  <c r="K9" i="69"/>
  <c r="D9" i="69"/>
  <c r="N8" i="69"/>
  <c r="M8" i="69"/>
  <c r="K8" i="69"/>
  <c r="D8" i="69"/>
  <c r="N7" i="69"/>
  <c r="M7" i="69"/>
  <c r="K7" i="69"/>
  <c r="D7" i="69"/>
  <c r="O7" i="69" s="1"/>
  <c r="N6" i="69"/>
  <c r="M6" i="69"/>
  <c r="K6" i="69"/>
  <c r="D6" i="69"/>
  <c r="O6" i="69" s="1"/>
  <c r="K5" i="69"/>
  <c r="D5" i="69"/>
  <c r="O5" i="69" s="1"/>
  <c r="K4" i="69"/>
  <c r="D4" i="69"/>
  <c r="D16" i="68"/>
  <c r="K12" i="68"/>
  <c r="D12" i="68"/>
  <c r="K11" i="68"/>
  <c r="D11" i="68"/>
  <c r="K10" i="68"/>
  <c r="D10" i="68"/>
  <c r="K9" i="68"/>
  <c r="D9" i="68"/>
  <c r="K8" i="68"/>
  <c r="D8" i="68"/>
  <c r="K7" i="68"/>
  <c r="D7" i="68"/>
  <c r="K6" i="68"/>
  <c r="D6" i="68"/>
  <c r="O6" i="68" s="1"/>
  <c r="K5" i="68"/>
  <c r="D5" i="68"/>
  <c r="O5" i="68" s="1"/>
  <c r="K4" i="68"/>
  <c r="D4" i="68"/>
  <c r="O4" i="68" s="1"/>
  <c r="D16" i="67"/>
  <c r="N12" i="67"/>
  <c r="M12" i="67"/>
  <c r="K12" i="67"/>
  <c r="D12" i="67"/>
  <c r="N11" i="67"/>
  <c r="M11" i="67"/>
  <c r="K11" i="67"/>
  <c r="D11" i="67"/>
  <c r="N10" i="67"/>
  <c r="M10" i="67"/>
  <c r="K10" i="67"/>
  <c r="D10" i="67"/>
  <c r="O10" i="67" s="1"/>
  <c r="N9" i="67"/>
  <c r="M9" i="67"/>
  <c r="K9" i="67"/>
  <c r="D9" i="67"/>
  <c r="O9" i="67" s="1"/>
  <c r="N8" i="67"/>
  <c r="M8" i="67"/>
  <c r="K8" i="67"/>
  <c r="D8" i="67"/>
  <c r="N7" i="67"/>
  <c r="M7" i="67"/>
  <c r="K7" i="67"/>
  <c r="D7" i="67"/>
  <c r="K6" i="67"/>
  <c r="D6" i="67"/>
  <c r="O6" i="67" s="1"/>
  <c r="K5" i="67"/>
  <c r="D5" i="67"/>
  <c r="O5" i="67" s="1"/>
  <c r="K4" i="67"/>
  <c r="D4" i="67"/>
  <c r="O4" i="67" s="1"/>
  <c r="N14" i="82" l="1"/>
  <c r="N14" i="81"/>
  <c r="N14" i="80"/>
  <c r="F14" i="72"/>
  <c r="O14" i="72"/>
  <c r="AF14" i="72"/>
  <c r="N6" i="72"/>
  <c r="AG15" i="72"/>
  <c r="N8" i="72"/>
  <c r="N11" i="72"/>
  <c r="X15" i="72"/>
  <c r="N5" i="72"/>
  <c r="N7" i="72"/>
  <c r="N4" i="72"/>
  <c r="P14" i="72" s="1"/>
  <c r="N9" i="72"/>
  <c r="N12" i="72"/>
  <c r="G14" i="72"/>
  <c r="F14" i="67"/>
  <c r="F14" i="68"/>
  <c r="N11" i="71"/>
  <c r="N10" i="71"/>
  <c r="F14" i="71"/>
  <c r="O14" i="71"/>
  <c r="N9" i="71"/>
  <c r="G14" i="71"/>
  <c r="P14" i="69"/>
  <c r="P14" i="71"/>
  <c r="N5" i="71"/>
  <c r="N6" i="71"/>
  <c r="N8" i="71"/>
  <c r="O12" i="69"/>
  <c r="O11" i="69"/>
  <c r="O9" i="69"/>
  <c r="O4" i="69"/>
  <c r="O10" i="69"/>
  <c r="O8" i="69"/>
  <c r="O11" i="68"/>
  <c r="O9" i="68"/>
  <c r="O8" i="68"/>
  <c r="O7" i="68"/>
  <c r="O12" i="68"/>
  <c r="O10" i="68"/>
  <c r="O12" i="67"/>
  <c r="O11" i="67"/>
  <c r="O7" i="67"/>
  <c r="O8" i="67"/>
  <c r="K7" i="66"/>
  <c r="K8" i="66"/>
  <c r="K9" i="66"/>
  <c r="K10" i="66"/>
  <c r="K11" i="66"/>
  <c r="K12" i="66"/>
  <c r="K4" i="66"/>
  <c r="K5" i="66"/>
  <c r="K6" i="66"/>
  <c r="D16" i="66"/>
  <c r="D12" i="66"/>
  <c r="D11" i="66"/>
  <c r="D10" i="66"/>
  <c r="D9" i="66"/>
  <c r="D8" i="66"/>
  <c r="D7" i="66"/>
  <c r="D6" i="66"/>
  <c r="D5" i="66"/>
  <c r="D4" i="66"/>
  <c r="O4" i="66" l="1"/>
  <c r="O6" i="66"/>
  <c r="O10" i="66"/>
  <c r="O11" i="66"/>
  <c r="O9" i="66"/>
  <c r="O7" i="66"/>
  <c r="O12" i="66"/>
  <c r="O5" i="66"/>
  <c r="O8" i="66"/>
  <c r="E16" i="65"/>
  <c r="K12" i="65"/>
  <c r="E12" i="65"/>
  <c r="K11" i="65"/>
  <c r="E11" i="65"/>
  <c r="L11" i="65" s="1"/>
  <c r="M11" i="65" s="1"/>
  <c r="K10" i="65"/>
  <c r="E10" i="65"/>
  <c r="K9" i="65"/>
  <c r="E9" i="65"/>
  <c r="L9" i="65" s="1"/>
  <c r="M9" i="65" s="1"/>
  <c r="K8" i="65"/>
  <c r="E8" i="65"/>
  <c r="K7" i="65"/>
  <c r="E7" i="65"/>
  <c r="L7" i="65" s="1"/>
  <c r="M7" i="65" s="1"/>
  <c r="K6" i="65"/>
  <c r="E6" i="65"/>
  <c r="L6" i="65" s="1"/>
  <c r="M6" i="65" s="1"/>
  <c r="K5" i="65"/>
  <c r="E5" i="65"/>
  <c r="L5" i="65" s="1"/>
  <c r="M5" i="65" s="1"/>
  <c r="K4" i="65"/>
  <c r="E4" i="65"/>
  <c r="E18" i="65" s="1"/>
  <c r="L8" i="65" l="1"/>
  <c r="M8" i="65" s="1"/>
  <c r="L12" i="65"/>
  <c r="M12" i="65" s="1"/>
  <c r="L10" i="65"/>
  <c r="M10" i="65" s="1"/>
  <c r="L4" i="65"/>
  <c r="M4" i="65" l="1"/>
  <c r="E19" i="65"/>
  <c r="E20" i="65" s="1"/>
  <c r="J12" i="64" l="1"/>
  <c r="J11" i="64"/>
  <c r="J10" i="64"/>
  <c r="J9" i="64"/>
  <c r="J8" i="64"/>
  <c r="J7" i="64"/>
  <c r="J6" i="64"/>
  <c r="J5" i="64"/>
  <c r="J4" i="64"/>
  <c r="D16" i="64"/>
  <c r="N11" i="64"/>
  <c r="N9" i="64"/>
  <c r="M12" i="64"/>
  <c r="M11" i="64"/>
  <c r="M10" i="64"/>
  <c r="M9" i="64"/>
  <c r="M8" i="64"/>
  <c r="M7" i="64"/>
  <c r="M6" i="64"/>
  <c r="M5" i="64"/>
  <c r="M4" i="64"/>
  <c r="L12" i="64"/>
  <c r="L11" i="64"/>
  <c r="L10" i="64"/>
  <c r="L9" i="64"/>
  <c r="L8" i="64"/>
  <c r="L7" i="64"/>
  <c r="L6" i="64"/>
  <c r="L5" i="64"/>
  <c r="L4" i="64"/>
  <c r="D12" i="64"/>
  <c r="N12" i="64" s="1"/>
  <c r="D11" i="64"/>
  <c r="D10" i="64"/>
  <c r="D9" i="64"/>
  <c r="D8" i="64"/>
  <c r="D7" i="64"/>
  <c r="N7" i="64" s="1"/>
  <c r="D6" i="64"/>
  <c r="N6" i="64" s="1"/>
  <c r="D5" i="64"/>
  <c r="N5" i="64" s="1"/>
  <c r="D4" i="64"/>
  <c r="N4" i="64" s="1"/>
  <c r="N10" i="64" l="1"/>
  <c r="N8" i="64"/>
  <c r="E26" i="63" l="1"/>
  <c r="E25" i="63"/>
  <c r="D49" i="63"/>
  <c r="D50" i="63" s="1"/>
  <c r="E46" i="63"/>
  <c r="H41" i="63"/>
  <c r="E24" i="63"/>
  <c r="I22" i="63"/>
  <c r="E22" i="63"/>
  <c r="I21" i="63"/>
  <c r="E21" i="63"/>
  <c r="I20" i="63"/>
  <c r="E20" i="63"/>
  <c r="J20" i="63" s="1"/>
  <c r="K20" i="63" s="1"/>
  <c r="I19" i="63"/>
  <c r="E19" i="63"/>
  <c r="I18" i="63"/>
  <c r="E18" i="63"/>
  <c r="I17" i="63"/>
  <c r="E17" i="63"/>
  <c r="I16" i="63"/>
  <c r="E16" i="63"/>
  <c r="J16" i="63" s="1"/>
  <c r="K16" i="63" s="1"/>
  <c r="I15" i="63"/>
  <c r="E15" i="63"/>
  <c r="I12" i="63"/>
  <c r="E12" i="63"/>
  <c r="I11" i="63"/>
  <c r="E11" i="63"/>
  <c r="I10" i="63"/>
  <c r="E10" i="63"/>
  <c r="I9" i="63"/>
  <c r="E9" i="63"/>
  <c r="I8" i="63"/>
  <c r="E8" i="63"/>
  <c r="I7" i="63"/>
  <c r="E7" i="63"/>
  <c r="I6" i="63"/>
  <c r="E6" i="63"/>
  <c r="I5" i="63"/>
  <c r="E5" i="63"/>
  <c r="I4" i="63"/>
  <c r="E4" i="63"/>
  <c r="D49" i="62"/>
  <c r="D50" i="62" s="1"/>
  <c r="E46" i="62"/>
  <c r="H41" i="62"/>
  <c r="E24" i="62"/>
  <c r="I22" i="62"/>
  <c r="E22" i="62"/>
  <c r="J22" i="62" s="1"/>
  <c r="K22" i="62" s="1"/>
  <c r="I21" i="62"/>
  <c r="E21" i="62"/>
  <c r="I20" i="62"/>
  <c r="E20" i="62"/>
  <c r="I19" i="62"/>
  <c r="E19" i="62"/>
  <c r="I18" i="62"/>
  <c r="E18" i="62"/>
  <c r="J18" i="62" s="1"/>
  <c r="K18" i="62" s="1"/>
  <c r="I17" i="62"/>
  <c r="E17" i="62"/>
  <c r="I16" i="62"/>
  <c r="E16" i="62"/>
  <c r="I15" i="62"/>
  <c r="J15" i="62" s="1"/>
  <c r="K15" i="62" s="1"/>
  <c r="E15" i="62"/>
  <c r="I12" i="62"/>
  <c r="E12" i="62"/>
  <c r="J12" i="62" s="1"/>
  <c r="K12" i="62" s="1"/>
  <c r="I11" i="62"/>
  <c r="E11" i="62"/>
  <c r="I10" i="62"/>
  <c r="E10" i="62"/>
  <c r="I9" i="62"/>
  <c r="E9" i="62"/>
  <c r="I8" i="62"/>
  <c r="E8" i="62"/>
  <c r="J8" i="62" s="1"/>
  <c r="K8" i="62" s="1"/>
  <c r="I7" i="62"/>
  <c r="E7" i="62"/>
  <c r="I6" i="62"/>
  <c r="E6" i="62"/>
  <c r="I5" i="62"/>
  <c r="E5" i="62"/>
  <c r="I4" i="62"/>
  <c r="E4" i="62"/>
  <c r="D50" i="61"/>
  <c r="D49" i="61"/>
  <c r="E46" i="61"/>
  <c r="H41" i="61"/>
  <c r="E24" i="61"/>
  <c r="I22" i="61"/>
  <c r="E22" i="61"/>
  <c r="I21" i="61"/>
  <c r="E21" i="61"/>
  <c r="I20" i="61"/>
  <c r="E20" i="61"/>
  <c r="I19" i="61"/>
  <c r="E19" i="61"/>
  <c r="I18" i="61"/>
  <c r="E18" i="61"/>
  <c r="I17" i="61"/>
  <c r="E17" i="61"/>
  <c r="J17" i="61" s="1"/>
  <c r="K17" i="61" s="1"/>
  <c r="I16" i="61"/>
  <c r="E16" i="61"/>
  <c r="I15" i="61"/>
  <c r="E15" i="61"/>
  <c r="I12" i="61"/>
  <c r="E12" i="61"/>
  <c r="I11" i="61"/>
  <c r="E11" i="61"/>
  <c r="I10" i="61"/>
  <c r="E10" i="61"/>
  <c r="J10" i="61" s="1"/>
  <c r="K10" i="61" s="1"/>
  <c r="I9" i="61"/>
  <c r="E9" i="61"/>
  <c r="I8" i="61"/>
  <c r="E8" i="61"/>
  <c r="I7" i="61"/>
  <c r="E7" i="61"/>
  <c r="I6" i="61"/>
  <c r="E6" i="61"/>
  <c r="I5" i="61"/>
  <c r="E5" i="61"/>
  <c r="I4" i="61"/>
  <c r="E4" i="61"/>
  <c r="G33" i="59"/>
  <c r="G30" i="57"/>
  <c r="G30" i="58"/>
  <c r="D49" i="59"/>
  <c r="D50" i="59" s="1"/>
  <c r="E46" i="59"/>
  <c r="H41" i="59"/>
  <c r="E29" i="59"/>
  <c r="E28" i="59"/>
  <c r="E27" i="59"/>
  <c r="E26" i="59"/>
  <c r="E24" i="59"/>
  <c r="I22" i="59"/>
  <c r="E22" i="59"/>
  <c r="J22" i="59" s="1"/>
  <c r="K22" i="59" s="1"/>
  <c r="I21" i="59"/>
  <c r="E21" i="59"/>
  <c r="J21" i="59" s="1"/>
  <c r="K21" i="59" s="1"/>
  <c r="I20" i="59"/>
  <c r="E20" i="59"/>
  <c r="I19" i="59"/>
  <c r="E19" i="59"/>
  <c r="I18" i="59"/>
  <c r="E18" i="59"/>
  <c r="J18" i="59" s="1"/>
  <c r="K18" i="59" s="1"/>
  <c r="I17" i="59"/>
  <c r="E17" i="59"/>
  <c r="J17" i="59" s="1"/>
  <c r="K17" i="59" s="1"/>
  <c r="I16" i="59"/>
  <c r="E16" i="59"/>
  <c r="J16" i="59" s="1"/>
  <c r="K16" i="59" s="1"/>
  <c r="I15" i="59"/>
  <c r="E15" i="59"/>
  <c r="I12" i="59"/>
  <c r="E12" i="59"/>
  <c r="I11" i="59"/>
  <c r="E11" i="59"/>
  <c r="I10" i="59"/>
  <c r="E10" i="59"/>
  <c r="I9" i="59"/>
  <c r="E9" i="59"/>
  <c r="I8" i="59"/>
  <c r="E8" i="59"/>
  <c r="I7" i="59"/>
  <c r="E7" i="59"/>
  <c r="I6" i="59"/>
  <c r="E6" i="59"/>
  <c r="J6" i="59" s="1"/>
  <c r="K6" i="59" s="1"/>
  <c r="I5" i="59"/>
  <c r="E5" i="59"/>
  <c r="I4" i="59"/>
  <c r="E4" i="59"/>
  <c r="I27" i="58"/>
  <c r="I26" i="58"/>
  <c r="E36" i="58"/>
  <c r="D49" i="58"/>
  <c r="D50" i="58" s="1"/>
  <c r="E46" i="58"/>
  <c r="H41" i="58"/>
  <c r="E29" i="58"/>
  <c r="E28" i="58"/>
  <c r="E27" i="58"/>
  <c r="E26" i="58"/>
  <c r="E24" i="58"/>
  <c r="I22" i="58"/>
  <c r="E22" i="58"/>
  <c r="I21" i="58"/>
  <c r="E21" i="58"/>
  <c r="J21" i="58" s="1"/>
  <c r="K21" i="58" s="1"/>
  <c r="I20" i="58"/>
  <c r="E20" i="58"/>
  <c r="I19" i="58"/>
  <c r="E19" i="58"/>
  <c r="J19" i="58" s="1"/>
  <c r="K19" i="58" s="1"/>
  <c r="I18" i="58"/>
  <c r="J18" i="58" s="1"/>
  <c r="K18" i="58" s="1"/>
  <c r="E18" i="58"/>
  <c r="I17" i="58"/>
  <c r="E17" i="58"/>
  <c r="J17" i="58" s="1"/>
  <c r="K17" i="58" s="1"/>
  <c r="I16" i="58"/>
  <c r="E16" i="58"/>
  <c r="I15" i="58"/>
  <c r="E15" i="58"/>
  <c r="J15" i="58" s="1"/>
  <c r="K15" i="58" s="1"/>
  <c r="I12" i="58"/>
  <c r="E12" i="58"/>
  <c r="I11" i="58"/>
  <c r="E11" i="58"/>
  <c r="I10" i="58"/>
  <c r="E10" i="58"/>
  <c r="I9" i="58"/>
  <c r="E9" i="58"/>
  <c r="J9" i="58" s="1"/>
  <c r="K9" i="58" s="1"/>
  <c r="I8" i="58"/>
  <c r="E8" i="58"/>
  <c r="I7" i="58"/>
  <c r="E7" i="58"/>
  <c r="I6" i="58"/>
  <c r="E6" i="58"/>
  <c r="I5" i="58"/>
  <c r="E5" i="58"/>
  <c r="J5" i="58" s="1"/>
  <c r="K5" i="58" s="1"/>
  <c r="I4" i="58"/>
  <c r="E4" i="58"/>
  <c r="E36" i="57"/>
  <c r="E37" i="57"/>
  <c r="D50" i="57"/>
  <c r="D49" i="57"/>
  <c r="E46" i="57"/>
  <c r="H41" i="57"/>
  <c r="E28" i="57"/>
  <c r="E27" i="57"/>
  <c r="E26" i="57"/>
  <c r="E29" i="57"/>
  <c r="E24" i="57"/>
  <c r="I22" i="57"/>
  <c r="E22" i="57"/>
  <c r="I21" i="57"/>
  <c r="E21" i="57"/>
  <c r="J21" i="57" s="1"/>
  <c r="K21" i="57" s="1"/>
  <c r="I20" i="57"/>
  <c r="E20" i="57"/>
  <c r="J20" i="57" s="1"/>
  <c r="K20" i="57" s="1"/>
  <c r="I19" i="57"/>
  <c r="E19" i="57"/>
  <c r="I18" i="57"/>
  <c r="E18" i="57"/>
  <c r="I17" i="57"/>
  <c r="E17" i="57"/>
  <c r="I16" i="57"/>
  <c r="E16" i="57"/>
  <c r="J16" i="57" s="1"/>
  <c r="K16" i="57" s="1"/>
  <c r="I15" i="57"/>
  <c r="E15" i="57"/>
  <c r="I12" i="57"/>
  <c r="E12" i="57"/>
  <c r="J12" i="57" s="1"/>
  <c r="K12" i="57" s="1"/>
  <c r="I11" i="57"/>
  <c r="E11" i="57"/>
  <c r="I10" i="57"/>
  <c r="E10" i="57"/>
  <c r="J10" i="57" s="1"/>
  <c r="K10" i="57" s="1"/>
  <c r="I9" i="57"/>
  <c r="E9" i="57"/>
  <c r="I8" i="57"/>
  <c r="E8" i="57"/>
  <c r="I7" i="57"/>
  <c r="E7" i="57"/>
  <c r="J7" i="57" s="1"/>
  <c r="K7" i="57" s="1"/>
  <c r="I6" i="57"/>
  <c r="E6" i="57"/>
  <c r="I5" i="57"/>
  <c r="E5" i="57"/>
  <c r="I4" i="57"/>
  <c r="E4" i="57"/>
  <c r="H33" i="55"/>
  <c r="D49" i="56"/>
  <c r="D50" i="56" s="1"/>
  <c r="E46" i="56"/>
  <c r="H41" i="56"/>
  <c r="E33" i="56"/>
  <c r="E32" i="56"/>
  <c r="E30" i="56"/>
  <c r="E29" i="56"/>
  <c r="E28" i="56"/>
  <c r="E27" i="56"/>
  <c r="E26" i="56"/>
  <c r="E24" i="56"/>
  <c r="I22" i="56"/>
  <c r="E22" i="56"/>
  <c r="J22" i="56" s="1"/>
  <c r="K22" i="56" s="1"/>
  <c r="I21" i="56"/>
  <c r="E21" i="56"/>
  <c r="J21" i="56" s="1"/>
  <c r="K21" i="56" s="1"/>
  <c r="I20" i="56"/>
  <c r="E20" i="56"/>
  <c r="J20" i="56" s="1"/>
  <c r="K20" i="56" s="1"/>
  <c r="J19" i="56"/>
  <c r="K19" i="56" s="1"/>
  <c r="I19" i="56"/>
  <c r="E19" i="56"/>
  <c r="I18" i="56"/>
  <c r="E18" i="56"/>
  <c r="J18" i="56" s="1"/>
  <c r="K18" i="56" s="1"/>
  <c r="I17" i="56"/>
  <c r="E17" i="56"/>
  <c r="J17" i="56" s="1"/>
  <c r="K17" i="56" s="1"/>
  <c r="I16" i="56"/>
  <c r="E16" i="56"/>
  <c r="I15" i="56"/>
  <c r="E15" i="56"/>
  <c r="J15" i="56" s="1"/>
  <c r="K15" i="56" s="1"/>
  <c r="I12" i="56"/>
  <c r="E12" i="56"/>
  <c r="J12" i="56" s="1"/>
  <c r="K12" i="56" s="1"/>
  <c r="I11" i="56"/>
  <c r="E11" i="56"/>
  <c r="J11" i="56" s="1"/>
  <c r="K11" i="56" s="1"/>
  <c r="I10" i="56"/>
  <c r="E10" i="56"/>
  <c r="J10" i="56" s="1"/>
  <c r="K10" i="56" s="1"/>
  <c r="I9" i="56"/>
  <c r="E9" i="56"/>
  <c r="I8" i="56"/>
  <c r="E8" i="56"/>
  <c r="I7" i="56"/>
  <c r="E7" i="56"/>
  <c r="I6" i="56"/>
  <c r="E6" i="56"/>
  <c r="J6" i="56" s="1"/>
  <c r="K6" i="56" s="1"/>
  <c r="I5" i="56"/>
  <c r="E5" i="56"/>
  <c r="J5" i="56" s="1"/>
  <c r="K5" i="56" s="1"/>
  <c r="I4" i="56"/>
  <c r="E4" i="56"/>
  <c r="J17" i="63" l="1"/>
  <c r="K17" i="63" s="1"/>
  <c r="E37" i="63"/>
  <c r="J21" i="63"/>
  <c r="K21" i="63" s="1"/>
  <c r="J4" i="63"/>
  <c r="K4" i="63" s="1"/>
  <c r="J8" i="63"/>
  <c r="K8" i="63" s="1"/>
  <c r="J12" i="63"/>
  <c r="K12" i="63" s="1"/>
  <c r="J6" i="63"/>
  <c r="K6" i="63" s="1"/>
  <c r="J10" i="63"/>
  <c r="K10" i="63" s="1"/>
  <c r="J18" i="63"/>
  <c r="K18" i="63" s="1"/>
  <c r="J22" i="63"/>
  <c r="K22" i="63" s="1"/>
  <c r="J19" i="63"/>
  <c r="K19" i="63" s="1"/>
  <c r="J15" i="63"/>
  <c r="K15" i="63" s="1"/>
  <c r="J5" i="63"/>
  <c r="K5" i="63" s="1"/>
  <c r="J9" i="63"/>
  <c r="K9" i="63" s="1"/>
  <c r="E36" i="63"/>
  <c r="J7" i="63"/>
  <c r="K7" i="63" s="1"/>
  <c r="J11" i="63"/>
  <c r="K11" i="63" s="1"/>
  <c r="J19" i="62"/>
  <c r="K19" i="62" s="1"/>
  <c r="E37" i="62"/>
  <c r="J5" i="62"/>
  <c r="K5" i="62" s="1"/>
  <c r="E36" i="62"/>
  <c r="J9" i="62"/>
  <c r="K9" i="62" s="1"/>
  <c r="J6" i="62"/>
  <c r="K6" i="62" s="1"/>
  <c r="J10" i="62"/>
  <c r="K10" i="62" s="1"/>
  <c r="J20" i="62"/>
  <c r="K20" i="62" s="1"/>
  <c r="J7" i="62"/>
  <c r="K7" i="62" s="1"/>
  <c r="J11" i="62"/>
  <c r="K11" i="62" s="1"/>
  <c r="J17" i="62"/>
  <c r="K17" i="62" s="1"/>
  <c r="J21" i="62"/>
  <c r="K21" i="62" s="1"/>
  <c r="J4" i="62"/>
  <c r="K4" i="62" s="1"/>
  <c r="J16" i="62"/>
  <c r="K16" i="62" s="1"/>
  <c r="J16" i="61"/>
  <c r="K16" i="61" s="1"/>
  <c r="J21" i="61"/>
  <c r="K21" i="61" s="1"/>
  <c r="J20" i="61"/>
  <c r="K20" i="61" s="1"/>
  <c r="J7" i="61"/>
  <c r="K7" i="61" s="1"/>
  <c r="J6" i="61"/>
  <c r="K6" i="61" s="1"/>
  <c r="J11" i="61"/>
  <c r="K11" i="61" s="1"/>
  <c r="J4" i="61"/>
  <c r="K4" i="61" s="1"/>
  <c r="J8" i="61"/>
  <c r="K8" i="61" s="1"/>
  <c r="J12" i="61"/>
  <c r="K12" i="61" s="1"/>
  <c r="J18" i="61"/>
  <c r="K18" i="61" s="1"/>
  <c r="J22" i="61"/>
  <c r="K22" i="61" s="1"/>
  <c r="J5" i="61"/>
  <c r="K5" i="61" s="1"/>
  <c r="J9" i="61"/>
  <c r="K9" i="61" s="1"/>
  <c r="J19" i="61"/>
  <c r="K19" i="61" s="1"/>
  <c r="J15" i="61"/>
  <c r="K15" i="61" s="1"/>
  <c r="E37" i="61"/>
  <c r="E36" i="61"/>
  <c r="G32" i="59"/>
  <c r="J11" i="59"/>
  <c r="K11" i="59" s="1"/>
  <c r="J20" i="59"/>
  <c r="K20" i="59" s="1"/>
  <c r="J7" i="59"/>
  <c r="K7" i="59" s="1"/>
  <c r="J10" i="59"/>
  <c r="K10" i="59" s="1"/>
  <c r="E36" i="59"/>
  <c r="J15" i="59"/>
  <c r="K15" i="59" s="1"/>
  <c r="J19" i="59"/>
  <c r="K19" i="59" s="1"/>
  <c r="I26" i="59"/>
  <c r="J4" i="59"/>
  <c r="K4" i="59" s="1"/>
  <c r="J8" i="59"/>
  <c r="K8" i="59" s="1"/>
  <c r="J12" i="59"/>
  <c r="K12" i="59" s="1"/>
  <c r="J5" i="59"/>
  <c r="K5" i="59" s="1"/>
  <c r="J9" i="59"/>
  <c r="K9" i="59" s="1"/>
  <c r="E37" i="59"/>
  <c r="I27" i="59"/>
  <c r="E37" i="58"/>
  <c r="E38" i="58" s="1"/>
  <c r="J22" i="58"/>
  <c r="K22" i="58" s="1"/>
  <c r="J7" i="58"/>
  <c r="K7" i="58" s="1"/>
  <c r="J4" i="58"/>
  <c r="K4" i="58" s="1"/>
  <c r="J11" i="58"/>
  <c r="K11" i="58" s="1"/>
  <c r="J8" i="58"/>
  <c r="K8" i="58" s="1"/>
  <c r="J12" i="58"/>
  <c r="K12" i="58" s="1"/>
  <c r="J6" i="58"/>
  <c r="K6" i="58" s="1"/>
  <c r="J10" i="58"/>
  <c r="K10" i="58" s="1"/>
  <c r="J16" i="58"/>
  <c r="K16" i="58" s="1"/>
  <c r="J20" i="58"/>
  <c r="K20" i="58" s="1"/>
  <c r="J18" i="57"/>
  <c r="K18" i="57" s="1"/>
  <c r="J15" i="57"/>
  <c r="K15" i="57" s="1"/>
  <c r="J22" i="57"/>
  <c r="K22" i="57" s="1"/>
  <c r="J4" i="57"/>
  <c r="K4" i="57" s="1"/>
  <c r="J5" i="57"/>
  <c r="K5" i="57" s="1"/>
  <c r="J9" i="57"/>
  <c r="K9" i="57" s="1"/>
  <c r="J8" i="57"/>
  <c r="K8" i="57" s="1"/>
  <c r="J6" i="57"/>
  <c r="K6" i="57" s="1"/>
  <c r="J19" i="57"/>
  <c r="K19" i="57" s="1"/>
  <c r="J11" i="57"/>
  <c r="K11" i="57" s="1"/>
  <c r="J17" i="57"/>
  <c r="K17" i="57" s="1"/>
  <c r="J16" i="56"/>
  <c r="K16" i="56" s="1"/>
  <c r="J7" i="56"/>
  <c r="K7" i="56" s="1"/>
  <c r="J9" i="56"/>
  <c r="K9" i="56" s="1"/>
  <c r="E36" i="56"/>
  <c r="J8" i="56"/>
  <c r="K8" i="56" s="1"/>
  <c r="E37" i="56"/>
  <c r="J4" i="56"/>
  <c r="K4" i="56" s="1"/>
  <c r="E36" i="55"/>
  <c r="E35" i="55"/>
  <c r="E34" i="55"/>
  <c r="E32" i="55"/>
  <c r="E31" i="55"/>
  <c r="E30" i="55"/>
  <c r="E33" i="55"/>
  <c r="D51" i="55"/>
  <c r="D52" i="55" s="1"/>
  <c r="E48" i="55"/>
  <c r="H43" i="55"/>
  <c r="E29" i="55"/>
  <c r="E28" i="55"/>
  <c r="E27" i="55"/>
  <c r="E26" i="55"/>
  <c r="E24" i="55"/>
  <c r="I22" i="55"/>
  <c r="E22" i="55"/>
  <c r="I21" i="55"/>
  <c r="E21" i="55"/>
  <c r="I20" i="55"/>
  <c r="E20" i="55"/>
  <c r="I19" i="55"/>
  <c r="E19" i="55"/>
  <c r="J19" i="55" s="1"/>
  <c r="K19" i="55" s="1"/>
  <c r="I18" i="55"/>
  <c r="E18" i="55"/>
  <c r="J18" i="55" s="1"/>
  <c r="K18" i="55" s="1"/>
  <c r="I17" i="55"/>
  <c r="E17" i="55"/>
  <c r="J17" i="55" s="1"/>
  <c r="K17" i="55" s="1"/>
  <c r="I16" i="55"/>
  <c r="E16" i="55"/>
  <c r="J16" i="55" s="1"/>
  <c r="K16" i="55" s="1"/>
  <c r="I15" i="55"/>
  <c r="E15" i="55"/>
  <c r="I12" i="55"/>
  <c r="E12" i="55"/>
  <c r="J12" i="55" s="1"/>
  <c r="K12" i="55" s="1"/>
  <c r="I11" i="55"/>
  <c r="E11" i="55"/>
  <c r="I10" i="55"/>
  <c r="E10" i="55"/>
  <c r="J10" i="55" s="1"/>
  <c r="K10" i="55" s="1"/>
  <c r="I9" i="55"/>
  <c r="E9" i="55"/>
  <c r="I8" i="55"/>
  <c r="E8" i="55"/>
  <c r="I7" i="55"/>
  <c r="E7" i="55"/>
  <c r="J7" i="55" s="1"/>
  <c r="K7" i="55" s="1"/>
  <c r="I6" i="55"/>
  <c r="E6" i="55"/>
  <c r="I5" i="55"/>
  <c r="E5" i="55"/>
  <c r="I4" i="55"/>
  <c r="E4" i="55"/>
  <c r="E29" i="54"/>
  <c r="E28" i="54"/>
  <c r="E27" i="54"/>
  <c r="E26" i="54"/>
  <c r="E41" i="54"/>
  <c r="D44" i="54"/>
  <c r="H36" i="54"/>
  <c r="E24" i="54"/>
  <c r="I22" i="54"/>
  <c r="E22" i="54"/>
  <c r="I21" i="54"/>
  <c r="E21" i="54"/>
  <c r="I20" i="54"/>
  <c r="E20" i="54"/>
  <c r="I19" i="54"/>
  <c r="E19" i="54"/>
  <c r="I18" i="54"/>
  <c r="E18" i="54"/>
  <c r="I17" i="54"/>
  <c r="E17" i="54"/>
  <c r="I16" i="54"/>
  <c r="E16" i="54"/>
  <c r="I15" i="54"/>
  <c r="E15" i="54"/>
  <c r="E32" i="54" s="1"/>
  <c r="I12" i="54"/>
  <c r="E12" i="54"/>
  <c r="I11" i="54"/>
  <c r="E11" i="54"/>
  <c r="I10" i="54"/>
  <c r="E10" i="54"/>
  <c r="I9" i="54"/>
  <c r="E9" i="54"/>
  <c r="J9" i="54" s="1"/>
  <c r="K9" i="54" s="1"/>
  <c r="I8" i="54"/>
  <c r="E8" i="54"/>
  <c r="I7" i="54"/>
  <c r="E7" i="54"/>
  <c r="I6" i="54"/>
  <c r="E6" i="54"/>
  <c r="I5" i="54"/>
  <c r="E5" i="54"/>
  <c r="J5" i="54" s="1"/>
  <c r="K5" i="54" s="1"/>
  <c r="I4" i="54"/>
  <c r="E4" i="54"/>
  <c r="E31" i="54" s="1"/>
  <c r="E26" i="53"/>
  <c r="E25" i="53"/>
  <c r="D44" i="53"/>
  <c r="D45" i="53" s="1"/>
  <c r="E40" i="53"/>
  <c r="H35" i="53"/>
  <c r="E24" i="53"/>
  <c r="I22" i="53"/>
  <c r="E22" i="53"/>
  <c r="I21" i="53"/>
  <c r="E21" i="53"/>
  <c r="I20" i="53"/>
  <c r="E20" i="53"/>
  <c r="I19" i="53"/>
  <c r="E19" i="53"/>
  <c r="J19" i="53" s="1"/>
  <c r="K19" i="53" s="1"/>
  <c r="I18" i="53"/>
  <c r="E18" i="53"/>
  <c r="I17" i="53"/>
  <c r="E17" i="53"/>
  <c r="I16" i="53"/>
  <c r="E16" i="53"/>
  <c r="I15" i="53"/>
  <c r="E15" i="53"/>
  <c r="J15" i="53" s="1"/>
  <c r="K15" i="53" s="1"/>
  <c r="I12" i="53"/>
  <c r="E12" i="53"/>
  <c r="J12" i="53" s="1"/>
  <c r="K12" i="53" s="1"/>
  <c r="I11" i="53"/>
  <c r="E11" i="53"/>
  <c r="J11" i="53" s="1"/>
  <c r="K11" i="53" s="1"/>
  <c r="I10" i="53"/>
  <c r="E10" i="53"/>
  <c r="J10" i="53" s="1"/>
  <c r="K10" i="53" s="1"/>
  <c r="I9" i="53"/>
  <c r="E9" i="53"/>
  <c r="J9" i="53" s="1"/>
  <c r="K9" i="53" s="1"/>
  <c r="I8" i="53"/>
  <c r="E8" i="53"/>
  <c r="J8" i="53" s="1"/>
  <c r="K8" i="53" s="1"/>
  <c r="I7" i="53"/>
  <c r="E7" i="53"/>
  <c r="I6" i="53"/>
  <c r="E6" i="53"/>
  <c r="I5" i="53"/>
  <c r="E5" i="53"/>
  <c r="I4" i="53"/>
  <c r="E4" i="53"/>
  <c r="E38" i="63" l="1"/>
  <c r="E38" i="62"/>
  <c r="E38" i="61"/>
  <c r="E38" i="59"/>
  <c r="E38" i="57"/>
  <c r="E38" i="56"/>
  <c r="J6" i="55"/>
  <c r="K6" i="55" s="1"/>
  <c r="J5" i="55"/>
  <c r="K5" i="55" s="1"/>
  <c r="J4" i="55"/>
  <c r="K4" i="55" s="1"/>
  <c r="J11" i="55"/>
  <c r="K11" i="55" s="1"/>
  <c r="J9" i="55"/>
  <c r="K9" i="55" s="1"/>
  <c r="J8" i="55"/>
  <c r="K8" i="55" s="1"/>
  <c r="J21" i="55"/>
  <c r="K21" i="55" s="1"/>
  <c r="J20" i="55"/>
  <c r="K20" i="55" s="1"/>
  <c r="J22" i="55"/>
  <c r="K22" i="55" s="1"/>
  <c r="E39" i="55"/>
  <c r="E38" i="55"/>
  <c r="J15" i="55"/>
  <c r="K15" i="55" s="1"/>
  <c r="D45" i="54"/>
  <c r="J10" i="54"/>
  <c r="K10" i="54" s="1"/>
  <c r="J16" i="54"/>
  <c r="K16" i="54" s="1"/>
  <c r="J20" i="54"/>
  <c r="K20" i="54" s="1"/>
  <c r="J17" i="54"/>
  <c r="K17" i="54" s="1"/>
  <c r="J21" i="54"/>
  <c r="K21" i="54" s="1"/>
  <c r="J19" i="54"/>
  <c r="K19" i="54" s="1"/>
  <c r="J7" i="54"/>
  <c r="K7" i="54" s="1"/>
  <c r="J6" i="54"/>
  <c r="K6" i="54" s="1"/>
  <c r="J11" i="54"/>
  <c r="K11" i="54" s="1"/>
  <c r="J4" i="54"/>
  <c r="K4" i="54" s="1"/>
  <c r="J8" i="54"/>
  <c r="K8" i="54" s="1"/>
  <c r="J12" i="54"/>
  <c r="K12" i="54" s="1"/>
  <c r="J18" i="54"/>
  <c r="K18" i="54" s="1"/>
  <c r="J22" i="54"/>
  <c r="K22" i="54" s="1"/>
  <c r="J15" i="54"/>
  <c r="K15" i="54" s="1"/>
  <c r="J17" i="53"/>
  <c r="K17" i="53" s="1"/>
  <c r="J21" i="53"/>
  <c r="K21" i="53" s="1"/>
  <c r="J7" i="53"/>
  <c r="K7" i="53" s="1"/>
  <c r="J6" i="53"/>
  <c r="K6" i="53" s="1"/>
  <c r="J5" i="53"/>
  <c r="K5" i="53" s="1"/>
  <c r="J18" i="53"/>
  <c r="K18" i="53" s="1"/>
  <c r="J22" i="53"/>
  <c r="K22" i="53" s="1"/>
  <c r="J20" i="53"/>
  <c r="K20" i="53" s="1"/>
  <c r="E30" i="53"/>
  <c r="E29" i="53"/>
  <c r="J4" i="53"/>
  <c r="K4" i="53" s="1"/>
  <c r="J16" i="53"/>
  <c r="K16" i="53" s="1"/>
  <c r="D45" i="52"/>
  <c r="D44" i="52"/>
  <c r="E19" i="52"/>
  <c r="E15" i="52"/>
  <c r="E40" i="52"/>
  <c r="H35" i="52"/>
  <c r="E24" i="52"/>
  <c r="I22" i="52"/>
  <c r="E22" i="52"/>
  <c r="I21" i="52"/>
  <c r="E21" i="52"/>
  <c r="I20" i="52"/>
  <c r="E20" i="52"/>
  <c r="I19" i="52"/>
  <c r="I18" i="52"/>
  <c r="E18" i="52"/>
  <c r="I17" i="52"/>
  <c r="E17" i="52"/>
  <c r="I16" i="52"/>
  <c r="E16" i="52"/>
  <c r="I15" i="52"/>
  <c r="I12" i="52"/>
  <c r="E12" i="52"/>
  <c r="I11" i="52"/>
  <c r="E11" i="52"/>
  <c r="I10" i="52"/>
  <c r="E10" i="52"/>
  <c r="I9" i="52"/>
  <c r="E9" i="52"/>
  <c r="J9" i="52" s="1"/>
  <c r="K9" i="52" s="1"/>
  <c r="I8" i="52"/>
  <c r="E8" i="52"/>
  <c r="I7" i="52"/>
  <c r="E7" i="52"/>
  <c r="I6" i="52"/>
  <c r="E6" i="52"/>
  <c r="I5" i="52"/>
  <c r="E5" i="52"/>
  <c r="I4" i="52"/>
  <c r="E4" i="52"/>
  <c r="D45" i="51"/>
  <c r="D44" i="51"/>
  <c r="E36" i="51"/>
  <c r="E40" i="51"/>
  <c r="E24" i="51"/>
  <c r="H35" i="51"/>
  <c r="E35" i="51"/>
  <c r="I22" i="51"/>
  <c r="E22" i="51"/>
  <c r="I21" i="51"/>
  <c r="E21" i="51"/>
  <c r="J21" i="51" s="1"/>
  <c r="K21" i="51" s="1"/>
  <c r="I20" i="51"/>
  <c r="E20" i="51"/>
  <c r="I19" i="51"/>
  <c r="E19" i="51"/>
  <c r="I18" i="51"/>
  <c r="E18" i="51"/>
  <c r="I17" i="51"/>
  <c r="E17" i="51"/>
  <c r="J17" i="51" s="1"/>
  <c r="K17" i="51" s="1"/>
  <c r="I16" i="51"/>
  <c r="E16" i="51"/>
  <c r="I15" i="51"/>
  <c r="E15" i="51"/>
  <c r="I12" i="51"/>
  <c r="E12" i="51"/>
  <c r="I11" i="51"/>
  <c r="E11" i="51"/>
  <c r="J11" i="51" s="1"/>
  <c r="K11" i="51" s="1"/>
  <c r="I10" i="51"/>
  <c r="E10" i="51"/>
  <c r="I9" i="51"/>
  <c r="E9" i="51"/>
  <c r="I8" i="51"/>
  <c r="E8" i="51"/>
  <c r="I7" i="51"/>
  <c r="E7" i="51"/>
  <c r="J7" i="51" s="1"/>
  <c r="K7" i="51" s="1"/>
  <c r="I6" i="51"/>
  <c r="E6" i="51"/>
  <c r="I5" i="51"/>
  <c r="E5" i="51"/>
  <c r="I4" i="51"/>
  <c r="E4" i="51"/>
  <c r="E31" i="49"/>
  <c r="E29" i="49"/>
  <c r="E12" i="49"/>
  <c r="E4" i="49"/>
  <c r="J12" i="49"/>
  <c r="E24" i="49"/>
  <c r="I22" i="49"/>
  <c r="E22" i="49"/>
  <c r="I21" i="49"/>
  <c r="E21" i="49"/>
  <c r="I20" i="49"/>
  <c r="E20" i="49"/>
  <c r="J20" i="49" s="1"/>
  <c r="K20" i="49" s="1"/>
  <c r="I19" i="49"/>
  <c r="E19" i="49"/>
  <c r="I18" i="49"/>
  <c r="E18" i="49"/>
  <c r="I17" i="49"/>
  <c r="E17" i="49"/>
  <c r="I16" i="49"/>
  <c r="E16" i="49"/>
  <c r="I15" i="49"/>
  <c r="E15" i="49"/>
  <c r="I12" i="49"/>
  <c r="I11" i="49"/>
  <c r="E11" i="49"/>
  <c r="J11" i="49" s="1"/>
  <c r="K11" i="49" s="1"/>
  <c r="I10" i="49"/>
  <c r="E10" i="49"/>
  <c r="I9" i="49"/>
  <c r="E9" i="49"/>
  <c r="I8" i="49"/>
  <c r="E8" i="49"/>
  <c r="I7" i="49"/>
  <c r="E7" i="49"/>
  <c r="J7" i="49" s="1"/>
  <c r="K7" i="49" s="1"/>
  <c r="I6" i="49"/>
  <c r="E6" i="49"/>
  <c r="I5" i="49"/>
  <c r="E5" i="49"/>
  <c r="I4" i="49"/>
  <c r="E31" i="46"/>
  <c r="I22" i="47"/>
  <c r="E22" i="47"/>
  <c r="J22" i="47" s="1"/>
  <c r="K22" i="47" s="1"/>
  <c r="I21" i="47"/>
  <c r="E21" i="47"/>
  <c r="J21" i="47" s="1"/>
  <c r="K21" i="47" s="1"/>
  <c r="I20" i="47"/>
  <c r="E20" i="47"/>
  <c r="J20" i="47" s="1"/>
  <c r="K20" i="47" s="1"/>
  <c r="I19" i="47"/>
  <c r="E19" i="47"/>
  <c r="I18" i="47"/>
  <c r="E18" i="47"/>
  <c r="J18" i="47" s="1"/>
  <c r="K18" i="47" s="1"/>
  <c r="I17" i="47"/>
  <c r="E17" i="47"/>
  <c r="J17" i="47" s="1"/>
  <c r="K17" i="47" s="1"/>
  <c r="I16" i="47"/>
  <c r="E16" i="47"/>
  <c r="J16" i="47" s="1"/>
  <c r="K16" i="47" s="1"/>
  <c r="I15" i="47"/>
  <c r="E15" i="47"/>
  <c r="I12" i="47"/>
  <c r="E12" i="47"/>
  <c r="I11" i="47"/>
  <c r="E11" i="47"/>
  <c r="I10" i="47"/>
  <c r="E10" i="47"/>
  <c r="I9" i="47"/>
  <c r="E9" i="47"/>
  <c r="I8" i="47"/>
  <c r="E8" i="47"/>
  <c r="I7" i="47"/>
  <c r="E7" i="47"/>
  <c r="J7" i="47" s="1"/>
  <c r="K7" i="47" s="1"/>
  <c r="I6" i="47"/>
  <c r="E6" i="47"/>
  <c r="I5" i="47"/>
  <c r="E5" i="47"/>
  <c r="J5" i="47" s="1"/>
  <c r="K5" i="47" s="1"/>
  <c r="I4" i="47"/>
  <c r="J4" i="47" s="1"/>
  <c r="K4" i="47" s="1"/>
  <c r="E4" i="47"/>
  <c r="E32" i="45"/>
  <c r="E28" i="43"/>
  <c r="E27" i="43"/>
  <c r="E26" i="43"/>
  <c r="E31" i="45"/>
  <c r="E30" i="45"/>
  <c r="E29" i="46"/>
  <c r="E24" i="46"/>
  <c r="I22" i="46"/>
  <c r="E22" i="46"/>
  <c r="J22" i="46" s="1"/>
  <c r="K22" i="46" s="1"/>
  <c r="I21" i="46"/>
  <c r="E21" i="46"/>
  <c r="J21" i="46" s="1"/>
  <c r="K21" i="46" s="1"/>
  <c r="I20" i="46"/>
  <c r="E20" i="46"/>
  <c r="I19" i="46"/>
  <c r="E19" i="46"/>
  <c r="I18" i="46"/>
  <c r="E18" i="46"/>
  <c r="J18" i="46" s="1"/>
  <c r="K18" i="46" s="1"/>
  <c r="I17" i="46"/>
  <c r="E17" i="46"/>
  <c r="I16" i="46"/>
  <c r="E16" i="46"/>
  <c r="I15" i="46"/>
  <c r="E15" i="46"/>
  <c r="I12" i="46"/>
  <c r="E12" i="46"/>
  <c r="I11" i="46"/>
  <c r="E11" i="46"/>
  <c r="I10" i="46"/>
  <c r="E10" i="46"/>
  <c r="I9" i="46"/>
  <c r="E9" i="46"/>
  <c r="I8" i="46"/>
  <c r="E8" i="46"/>
  <c r="I7" i="46"/>
  <c r="E7" i="46"/>
  <c r="J7" i="46" s="1"/>
  <c r="K7" i="46" s="1"/>
  <c r="I6" i="46"/>
  <c r="E6" i="46"/>
  <c r="I5" i="46"/>
  <c r="E5" i="46"/>
  <c r="I4" i="46"/>
  <c r="E4" i="46"/>
  <c r="J4" i="46" s="1"/>
  <c r="K4" i="46" s="1"/>
  <c r="E24" i="45"/>
  <c r="I22" i="45"/>
  <c r="E22" i="45"/>
  <c r="I21" i="45"/>
  <c r="E21" i="45"/>
  <c r="J21" i="45" s="1"/>
  <c r="K21" i="45" s="1"/>
  <c r="I20" i="45"/>
  <c r="E20" i="45"/>
  <c r="J20" i="45" s="1"/>
  <c r="K20" i="45" s="1"/>
  <c r="I19" i="45"/>
  <c r="E19" i="45"/>
  <c r="J19" i="45" s="1"/>
  <c r="K19" i="45" s="1"/>
  <c r="I18" i="45"/>
  <c r="E18" i="45"/>
  <c r="I17" i="45"/>
  <c r="E17" i="45"/>
  <c r="J17" i="45" s="1"/>
  <c r="K17" i="45" s="1"/>
  <c r="I16" i="45"/>
  <c r="E16" i="45"/>
  <c r="J16" i="45" s="1"/>
  <c r="K16" i="45" s="1"/>
  <c r="I15" i="45"/>
  <c r="E15" i="45"/>
  <c r="I12" i="45"/>
  <c r="E12" i="45"/>
  <c r="J12" i="45" s="1"/>
  <c r="K12" i="45" s="1"/>
  <c r="I11" i="45"/>
  <c r="E11" i="45"/>
  <c r="J11" i="45" s="1"/>
  <c r="K11" i="45" s="1"/>
  <c r="I10" i="45"/>
  <c r="E10" i="45"/>
  <c r="J10" i="45" s="1"/>
  <c r="K10" i="45" s="1"/>
  <c r="I9" i="45"/>
  <c r="E9" i="45"/>
  <c r="J9" i="45" s="1"/>
  <c r="K9" i="45" s="1"/>
  <c r="I8" i="45"/>
  <c r="E8" i="45"/>
  <c r="I7" i="45"/>
  <c r="E7" i="45"/>
  <c r="J7" i="45" s="1"/>
  <c r="K7" i="45" s="1"/>
  <c r="I6" i="45"/>
  <c r="E6" i="45"/>
  <c r="J6" i="45" s="1"/>
  <c r="K6" i="45" s="1"/>
  <c r="I5" i="45"/>
  <c r="E5" i="45"/>
  <c r="I4" i="45"/>
  <c r="E4" i="45"/>
  <c r="J4" i="45" s="1"/>
  <c r="K4" i="45" s="1"/>
  <c r="E16" i="43"/>
  <c r="E18" i="43"/>
  <c r="I16" i="43"/>
  <c r="J16" i="43" s="1"/>
  <c r="I15" i="43"/>
  <c r="I18" i="43"/>
  <c r="J15" i="43"/>
  <c r="E17" i="43"/>
  <c r="B27" i="43"/>
  <c r="B28" i="43" s="1"/>
  <c r="E24" i="43"/>
  <c r="I22" i="43"/>
  <c r="E22" i="43"/>
  <c r="J22" i="43" s="1"/>
  <c r="K22" i="43" s="1"/>
  <c r="I21" i="43"/>
  <c r="E21" i="43"/>
  <c r="J21" i="43" s="1"/>
  <c r="K21" i="43" s="1"/>
  <c r="I20" i="43"/>
  <c r="E20" i="43"/>
  <c r="I19" i="43"/>
  <c r="E19" i="43"/>
  <c r="J19" i="43" s="1"/>
  <c r="K19" i="43" s="1"/>
  <c r="J18" i="43"/>
  <c r="K18" i="43" s="1"/>
  <c r="I17" i="43"/>
  <c r="J17" i="43"/>
  <c r="K17" i="43" s="1"/>
  <c r="E15" i="43"/>
  <c r="I12" i="43"/>
  <c r="E12" i="43"/>
  <c r="J12" i="43" s="1"/>
  <c r="K12" i="43" s="1"/>
  <c r="I11" i="43"/>
  <c r="E11" i="43"/>
  <c r="I10" i="43"/>
  <c r="E10" i="43"/>
  <c r="I9" i="43"/>
  <c r="E9" i="43"/>
  <c r="J9" i="43" s="1"/>
  <c r="K9" i="43" s="1"/>
  <c r="I8" i="43"/>
  <c r="E8" i="43"/>
  <c r="I7" i="43"/>
  <c r="E7" i="43"/>
  <c r="I6" i="43"/>
  <c r="E6" i="43"/>
  <c r="J6" i="43" s="1"/>
  <c r="K6" i="43" s="1"/>
  <c r="I5" i="43"/>
  <c r="E5" i="43"/>
  <c r="J5" i="43" s="1"/>
  <c r="K5" i="43" s="1"/>
  <c r="I4" i="43"/>
  <c r="E4" i="43"/>
  <c r="I4" i="39"/>
  <c r="I5" i="39"/>
  <c r="B28" i="40"/>
  <c r="B27" i="40"/>
  <c r="E24" i="40"/>
  <c r="I22" i="40"/>
  <c r="E22" i="40"/>
  <c r="J22" i="40" s="1"/>
  <c r="K22" i="40" s="1"/>
  <c r="J21" i="40"/>
  <c r="K21" i="40" s="1"/>
  <c r="I21" i="40"/>
  <c r="E21" i="40"/>
  <c r="I20" i="40"/>
  <c r="E20" i="40"/>
  <c r="J20" i="40" s="1"/>
  <c r="K20" i="40" s="1"/>
  <c r="J19" i="40"/>
  <c r="K19" i="40" s="1"/>
  <c r="I19" i="40"/>
  <c r="E19" i="40"/>
  <c r="I18" i="40"/>
  <c r="E18" i="40"/>
  <c r="J18" i="40" s="1"/>
  <c r="K18" i="40" s="1"/>
  <c r="J17" i="40"/>
  <c r="K17" i="40" s="1"/>
  <c r="I17" i="40"/>
  <c r="E17" i="40"/>
  <c r="I16" i="40"/>
  <c r="E16" i="40"/>
  <c r="J16" i="40" s="1"/>
  <c r="K16" i="40" s="1"/>
  <c r="J15" i="40"/>
  <c r="K15" i="40" s="1"/>
  <c r="I15" i="40"/>
  <c r="E15" i="40"/>
  <c r="I12" i="40"/>
  <c r="E12" i="40"/>
  <c r="J12" i="40" s="1"/>
  <c r="K12" i="40" s="1"/>
  <c r="J11" i="40"/>
  <c r="K11" i="40" s="1"/>
  <c r="I11" i="40"/>
  <c r="E11" i="40"/>
  <c r="I10" i="40"/>
  <c r="E10" i="40"/>
  <c r="J10" i="40" s="1"/>
  <c r="K10" i="40" s="1"/>
  <c r="J9" i="40"/>
  <c r="K9" i="40" s="1"/>
  <c r="I9" i="40"/>
  <c r="E9" i="40"/>
  <c r="I8" i="40"/>
  <c r="E8" i="40"/>
  <c r="J8" i="40" s="1"/>
  <c r="K8" i="40" s="1"/>
  <c r="J7" i="40"/>
  <c r="K7" i="40" s="1"/>
  <c r="I7" i="40"/>
  <c r="E7" i="40"/>
  <c r="I6" i="40"/>
  <c r="E6" i="40"/>
  <c r="J6" i="40" s="1"/>
  <c r="K6" i="40" s="1"/>
  <c r="J5" i="40"/>
  <c r="K5" i="40" s="1"/>
  <c r="I5" i="40"/>
  <c r="E5" i="40"/>
  <c r="I4" i="40"/>
  <c r="E4" i="40"/>
  <c r="J4" i="40" s="1"/>
  <c r="K4" i="40" s="1"/>
  <c r="E40" i="55" l="1"/>
  <c r="E33" i="54"/>
  <c r="E31" i="53"/>
  <c r="J19" i="52"/>
  <c r="K19" i="52" s="1"/>
  <c r="J5" i="52"/>
  <c r="K5" i="52" s="1"/>
  <c r="J8" i="52"/>
  <c r="K8" i="52" s="1"/>
  <c r="E30" i="52"/>
  <c r="J22" i="52"/>
  <c r="K22" i="52" s="1"/>
  <c r="J6" i="52"/>
  <c r="K6" i="52" s="1"/>
  <c r="J10" i="52"/>
  <c r="K10" i="52" s="1"/>
  <c r="J16" i="52"/>
  <c r="K16" i="52" s="1"/>
  <c r="J20" i="52"/>
  <c r="K20" i="52" s="1"/>
  <c r="J12" i="52"/>
  <c r="K12" i="52" s="1"/>
  <c r="J4" i="52"/>
  <c r="K4" i="52" s="1"/>
  <c r="J18" i="52"/>
  <c r="K18" i="52" s="1"/>
  <c r="J7" i="52"/>
  <c r="K7" i="52" s="1"/>
  <c r="J11" i="52"/>
  <c r="K11" i="52" s="1"/>
  <c r="J17" i="52"/>
  <c r="K17" i="52" s="1"/>
  <c r="J21" i="52"/>
  <c r="K21" i="52" s="1"/>
  <c r="E29" i="52"/>
  <c r="J15" i="52"/>
  <c r="K15" i="52" s="1"/>
  <c r="J5" i="51"/>
  <c r="K5" i="51" s="1"/>
  <c r="J9" i="51"/>
  <c r="K9" i="51" s="1"/>
  <c r="J19" i="51"/>
  <c r="K19" i="51" s="1"/>
  <c r="J10" i="51"/>
  <c r="K10" i="51" s="1"/>
  <c r="J16" i="51"/>
  <c r="K16" i="51" s="1"/>
  <c r="J4" i="51"/>
  <c r="K4" i="51" s="1"/>
  <c r="J8" i="51"/>
  <c r="K8" i="51" s="1"/>
  <c r="J12" i="51"/>
  <c r="K12" i="51" s="1"/>
  <c r="J18" i="51"/>
  <c r="K18" i="51" s="1"/>
  <c r="J22" i="51"/>
  <c r="K22" i="51" s="1"/>
  <c r="J6" i="51"/>
  <c r="K6" i="51" s="1"/>
  <c r="J20" i="51"/>
  <c r="K20" i="51" s="1"/>
  <c r="E29" i="51"/>
  <c r="E30" i="51"/>
  <c r="J15" i="51"/>
  <c r="K15" i="51" s="1"/>
  <c r="J17" i="49"/>
  <c r="K17" i="49" s="1"/>
  <c r="E30" i="49"/>
  <c r="J16" i="49"/>
  <c r="K16" i="49" s="1"/>
  <c r="J21" i="49"/>
  <c r="K21" i="49" s="1"/>
  <c r="J6" i="49"/>
  <c r="K6" i="49" s="1"/>
  <c r="J10" i="49"/>
  <c r="K10" i="49" s="1"/>
  <c r="J4" i="49"/>
  <c r="K4" i="49" s="1"/>
  <c r="J8" i="49"/>
  <c r="K8" i="49" s="1"/>
  <c r="K12" i="49"/>
  <c r="J18" i="49"/>
  <c r="K18" i="49" s="1"/>
  <c r="J22" i="49"/>
  <c r="K22" i="49" s="1"/>
  <c r="J5" i="49"/>
  <c r="K5" i="49" s="1"/>
  <c r="J9" i="49"/>
  <c r="K9" i="49" s="1"/>
  <c r="J15" i="49"/>
  <c r="K15" i="49" s="1"/>
  <c r="J19" i="49"/>
  <c r="K19" i="49" s="1"/>
  <c r="J12" i="47"/>
  <c r="K12" i="47" s="1"/>
  <c r="J8" i="47"/>
  <c r="K8" i="47" s="1"/>
  <c r="J10" i="47"/>
  <c r="K10" i="47" s="1"/>
  <c r="J11" i="47"/>
  <c r="K11" i="47" s="1"/>
  <c r="J19" i="47"/>
  <c r="K19" i="47" s="1"/>
  <c r="J9" i="47"/>
  <c r="K9" i="47" s="1"/>
  <c r="J6" i="47"/>
  <c r="K6" i="47" s="1"/>
  <c r="E30" i="47"/>
  <c r="E29" i="47"/>
  <c r="J15" i="47"/>
  <c r="K15" i="47" s="1"/>
  <c r="E30" i="46"/>
  <c r="J17" i="46"/>
  <c r="K17" i="46" s="1"/>
  <c r="J8" i="46"/>
  <c r="K8" i="46" s="1"/>
  <c r="J11" i="46"/>
  <c r="K11" i="46" s="1"/>
  <c r="J12" i="46"/>
  <c r="K12" i="46" s="1"/>
  <c r="J6" i="46"/>
  <c r="K6" i="46" s="1"/>
  <c r="J10" i="46"/>
  <c r="K10" i="46" s="1"/>
  <c r="J16" i="46"/>
  <c r="K16" i="46" s="1"/>
  <c r="J20" i="46"/>
  <c r="K20" i="46" s="1"/>
  <c r="J5" i="46"/>
  <c r="K5" i="46" s="1"/>
  <c r="J9" i="46"/>
  <c r="K9" i="46" s="1"/>
  <c r="J15" i="46"/>
  <c r="K15" i="46" s="1"/>
  <c r="J19" i="46"/>
  <c r="K19" i="46" s="1"/>
  <c r="J18" i="45"/>
  <c r="K18" i="45" s="1"/>
  <c r="J22" i="45"/>
  <c r="K22" i="45" s="1"/>
  <c r="J5" i="45"/>
  <c r="K5" i="45" s="1"/>
  <c r="J8" i="45"/>
  <c r="K8" i="45" s="1"/>
  <c r="J15" i="45"/>
  <c r="K15" i="45" s="1"/>
  <c r="J8" i="43"/>
  <c r="K8" i="43" s="1"/>
  <c r="J10" i="43"/>
  <c r="K10" i="43" s="1"/>
  <c r="J11" i="43"/>
  <c r="K11" i="43" s="1"/>
  <c r="J4" i="43"/>
  <c r="K4" i="43" s="1"/>
  <c r="J7" i="43"/>
  <c r="K7" i="43" s="1"/>
  <c r="K16" i="43"/>
  <c r="K15" i="43"/>
  <c r="J20" i="43"/>
  <c r="K20" i="43" s="1"/>
  <c r="I22" i="39"/>
  <c r="E22" i="39"/>
  <c r="I21" i="39"/>
  <c r="E21" i="39"/>
  <c r="I20" i="39"/>
  <c r="E20" i="39"/>
  <c r="I19" i="39"/>
  <c r="E19" i="39"/>
  <c r="I18" i="39"/>
  <c r="E18" i="39"/>
  <c r="I17" i="39"/>
  <c r="E17" i="39"/>
  <c r="I16" i="39"/>
  <c r="E16" i="39"/>
  <c r="I15" i="39"/>
  <c r="E15" i="39"/>
  <c r="B27" i="39"/>
  <c r="B28" i="39" s="1"/>
  <c r="E24" i="39"/>
  <c r="I12" i="39"/>
  <c r="E12" i="39"/>
  <c r="I11" i="39"/>
  <c r="E11" i="39"/>
  <c r="I10" i="39"/>
  <c r="E10" i="39"/>
  <c r="I9" i="39"/>
  <c r="E9" i="39"/>
  <c r="I8" i="39"/>
  <c r="E8" i="39"/>
  <c r="I7" i="39"/>
  <c r="E7" i="39"/>
  <c r="I6" i="39"/>
  <c r="E6" i="39"/>
  <c r="E5" i="39"/>
  <c r="E4" i="39"/>
  <c r="E31" i="52" l="1"/>
  <c r="E31" i="51"/>
  <c r="E31" i="47"/>
  <c r="J7" i="39"/>
  <c r="K7" i="39" s="1"/>
  <c r="J20" i="39"/>
  <c r="K20" i="39" s="1"/>
  <c r="J11" i="39"/>
  <c r="K11" i="39" s="1"/>
  <c r="J17" i="39"/>
  <c r="K17" i="39" s="1"/>
  <c r="J21" i="39"/>
  <c r="K21" i="39" s="1"/>
  <c r="J9" i="39"/>
  <c r="K9" i="39" s="1"/>
  <c r="J18" i="39"/>
  <c r="K18" i="39" s="1"/>
  <c r="J22" i="39"/>
  <c r="K22" i="39" s="1"/>
  <c r="J16" i="39"/>
  <c r="K16" i="39" s="1"/>
  <c r="J15" i="39"/>
  <c r="K15" i="39" s="1"/>
  <c r="J5" i="39"/>
  <c r="K5" i="39" s="1"/>
  <c r="J6" i="39"/>
  <c r="K6" i="39" s="1"/>
  <c r="J19" i="39"/>
  <c r="K19" i="39" s="1"/>
  <c r="J10" i="39"/>
  <c r="K10" i="39" s="1"/>
  <c r="J4" i="39"/>
  <c r="K4" i="39" s="1"/>
  <c r="J8" i="39"/>
  <c r="K8" i="39" s="1"/>
  <c r="J12" i="39"/>
  <c r="K12" i="39" s="1"/>
  <c r="B18" i="38"/>
  <c r="B19" i="38" s="1"/>
  <c r="F15" i="38"/>
  <c r="J13" i="38"/>
  <c r="F13" i="38"/>
  <c r="K13" i="38" s="1"/>
  <c r="L13" i="38" s="1"/>
  <c r="J12" i="38"/>
  <c r="F12" i="38"/>
  <c r="J11" i="38"/>
  <c r="F11" i="38"/>
  <c r="J10" i="38"/>
  <c r="F10" i="38"/>
  <c r="J9" i="38"/>
  <c r="F9" i="38"/>
  <c r="J8" i="38"/>
  <c r="F8" i="38"/>
  <c r="J7" i="38"/>
  <c r="F7" i="38"/>
  <c r="K7" i="38" s="1"/>
  <c r="L7" i="38" s="1"/>
  <c r="J6" i="38"/>
  <c r="F6" i="38"/>
  <c r="J5" i="38"/>
  <c r="F5" i="38"/>
  <c r="K5" i="38" s="1"/>
  <c r="L5" i="38" s="1"/>
  <c r="J4" i="38"/>
  <c r="F4" i="38"/>
  <c r="K9" i="38" l="1"/>
  <c r="L9" i="38" s="1"/>
  <c r="K10" i="38"/>
  <c r="L10" i="38" s="1"/>
  <c r="K6" i="38"/>
  <c r="L6" i="38" s="1"/>
  <c r="K4" i="38"/>
  <c r="L4" i="38" s="1"/>
  <c r="K8" i="38"/>
  <c r="L8" i="38" s="1"/>
  <c r="K12" i="38"/>
  <c r="L12" i="38" s="1"/>
  <c r="K11" i="38"/>
  <c r="L11" i="38" s="1"/>
  <c r="B19" i="37"/>
  <c r="B18" i="37"/>
  <c r="F15" i="37"/>
  <c r="L13" i="37"/>
  <c r="F13" i="37"/>
  <c r="L12" i="37"/>
  <c r="F12" i="37"/>
  <c r="M12" i="37" s="1"/>
  <c r="N12" i="37" s="1"/>
  <c r="L11" i="37"/>
  <c r="F11" i="37"/>
  <c r="L10" i="37"/>
  <c r="F10" i="37"/>
  <c r="L9" i="37"/>
  <c r="F9" i="37"/>
  <c r="M9" i="37" s="1"/>
  <c r="N9" i="37" s="1"/>
  <c r="L8" i="37"/>
  <c r="F8" i="37"/>
  <c r="M8" i="37" s="1"/>
  <c r="N8" i="37" s="1"/>
  <c r="L7" i="37"/>
  <c r="F7" i="37"/>
  <c r="L6" i="37"/>
  <c r="F6" i="37"/>
  <c r="M6" i="37" s="1"/>
  <c r="N6" i="37" s="1"/>
  <c r="L5" i="37"/>
  <c r="F5" i="37"/>
  <c r="M5" i="37" s="1"/>
  <c r="N5" i="37" s="1"/>
  <c r="L4" i="37"/>
  <c r="F4" i="37"/>
  <c r="M4" i="37" s="1"/>
  <c r="N4" i="37" s="1"/>
  <c r="B19" i="36"/>
  <c r="B18" i="36"/>
  <c r="F15" i="36"/>
  <c r="L13" i="36"/>
  <c r="F13" i="36"/>
  <c r="L12" i="36"/>
  <c r="F12" i="36"/>
  <c r="M12" i="36" s="1"/>
  <c r="N12" i="36" s="1"/>
  <c r="L11" i="36"/>
  <c r="F11" i="36"/>
  <c r="L10" i="36"/>
  <c r="F10" i="36"/>
  <c r="M10" i="36" s="1"/>
  <c r="N10" i="36" s="1"/>
  <c r="L9" i="36"/>
  <c r="F9" i="36"/>
  <c r="M9" i="36" s="1"/>
  <c r="N9" i="36" s="1"/>
  <c r="L8" i="36"/>
  <c r="F8" i="36"/>
  <c r="M8" i="36" s="1"/>
  <c r="N8" i="36" s="1"/>
  <c r="L7" i="36"/>
  <c r="F7" i="36"/>
  <c r="L6" i="36"/>
  <c r="F6" i="36"/>
  <c r="L5" i="36"/>
  <c r="F5" i="36"/>
  <c r="M5" i="36" s="1"/>
  <c r="N5" i="36" s="1"/>
  <c r="L4" i="36"/>
  <c r="F4" i="36"/>
  <c r="M4" i="36" s="1"/>
  <c r="N4" i="36" s="1"/>
  <c r="B19" i="35"/>
  <c r="B18" i="35"/>
  <c r="F15" i="35"/>
  <c r="L13" i="35"/>
  <c r="F13" i="35"/>
  <c r="L12" i="35"/>
  <c r="F12" i="35"/>
  <c r="M12" i="35" s="1"/>
  <c r="N12" i="35" s="1"/>
  <c r="L11" i="35"/>
  <c r="F11" i="35"/>
  <c r="M11" i="35" s="1"/>
  <c r="N11" i="35" s="1"/>
  <c r="L10" i="35"/>
  <c r="F10" i="35"/>
  <c r="M10" i="35" s="1"/>
  <c r="N10" i="35" s="1"/>
  <c r="L9" i="35"/>
  <c r="F9" i="35"/>
  <c r="M9" i="35" s="1"/>
  <c r="N9" i="35" s="1"/>
  <c r="L8" i="35"/>
  <c r="F8" i="35"/>
  <c r="L7" i="35"/>
  <c r="F7" i="35"/>
  <c r="L6" i="35"/>
  <c r="F6" i="35"/>
  <c r="M6" i="35" s="1"/>
  <c r="N6" i="35" s="1"/>
  <c r="L5" i="35"/>
  <c r="F5" i="35"/>
  <c r="M5" i="35" s="1"/>
  <c r="N5" i="35" s="1"/>
  <c r="L4" i="35"/>
  <c r="F4" i="35"/>
  <c r="M4" i="35" s="1"/>
  <c r="N4" i="35" s="1"/>
  <c r="L13" i="34"/>
  <c r="F13" i="34"/>
  <c r="M13" i="34" s="1"/>
  <c r="N13" i="34" s="1"/>
  <c r="L12" i="34"/>
  <c r="F12" i="34"/>
  <c r="L11" i="34"/>
  <c r="F11" i="34"/>
  <c r="M11" i="34" s="1"/>
  <c r="N11" i="34" s="1"/>
  <c r="L10" i="34"/>
  <c r="F10" i="34"/>
  <c r="M10" i="34" s="1"/>
  <c r="N10" i="34" s="1"/>
  <c r="L9" i="34"/>
  <c r="F9" i="34"/>
  <c r="L8" i="34"/>
  <c r="F8" i="34"/>
  <c r="L7" i="34"/>
  <c r="F7" i="34"/>
  <c r="M7" i="34" s="1"/>
  <c r="N7" i="34" s="1"/>
  <c r="L6" i="34"/>
  <c r="F6" i="34"/>
  <c r="L5" i="34"/>
  <c r="F5" i="34"/>
  <c r="M5" i="34" s="1"/>
  <c r="N5" i="34" s="1"/>
  <c r="L4" i="34"/>
  <c r="F4" i="34"/>
  <c r="M8" i="35" l="1"/>
  <c r="N8" i="35" s="1"/>
  <c r="M13" i="37"/>
  <c r="N13" i="37" s="1"/>
  <c r="M10" i="37"/>
  <c r="N10" i="37" s="1"/>
  <c r="M7" i="37"/>
  <c r="N7" i="37" s="1"/>
  <c r="M11" i="37"/>
  <c r="N11" i="37" s="1"/>
  <c r="M6" i="36"/>
  <c r="N6" i="36" s="1"/>
  <c r="M13" i="36"/>
  <c r="N13" i="36" s="1"/>
  <c r="M7" i="36"/>
  <c r="N7" i="36" s="1"/>
  <c r="M11" i="36"/>
  <c r="N11" i="36" s="1"/>
  <c r="M7" i="35"/>
  <c r="N7" i="35" s="1"/>
  <c r="M13" i="35"/>
  <c r="N13" i="35" s="1"/>
  <c r="M12" i="34"/>
  <c r="N12" i="34" s="1"/>
  <c r="M4" i="34"/>
  <c r="N4" i="34" s="1"/>
  <c r="M9" i="34"/>
  <c r="N9" i="34" s="1"/>
  <c r="M6" i="34"/>
  <c r="N6" i="34" s="1"/>
  <c r="M8" i="34"/>
  <c r="N8" i="34" s="1"/>
  <c r="L13" i="33"/>
  <c r="L12" i="33"/>
  <c r="L11" i="33"/>
  <c r="L10" i="33"/>
  <c r="L9" i="33"/>
  <c r="L8" i="33"/>
  <c r="L7" i="33"/>
  <c r="L6" i="33"/>
  <c r="Q6" i="33" s="1"/>
  <c r="L5" i="33"/>
  <c r="L4" i="33"/>
  <c r="F13" i="33"/>
  <c r="F12" i="33"/>
  <c r="F11" i="33"/>
  <c r="F10" i="33"/>
  <c r="F9" i="33"/>
  <c r="Q8" i="33"/>
  <c r="F8" i="33"/>
  <c r="M8" i="33" s="1"/>
  <c r="N8" i="33" s="1"/>
  <c r="Q7" i="33"/>
  <c r="F7" i="33"/>
  <c r="M7" i="33" s="1"/>
  <c r="N7" i="33" s="1"/>
  <c r="S6" i="33"/>
  <c r="R6" i="33"/>
  <c r="F6" i="33"/>
  <c r="Q5" i="33"/>
  <c r="F5" i="33"/>
  <c r="M5" i="33" s="1"/>
  <c r="N5" i="33" s="1"/>
  <c r="Q4" i="33"/>
  <c r="R4" i="33" s="1"/>
  <c r="S4" i="33" s="1"/>
  <c r="T4" i="33" s="1"/>
  <c r="F4" i="33"/>
  <c r="K13" i="32"/>
  <c r="E13" i="32"/>
  <c r="L13" i="32" s="1"/>
  <c r="M13" i="32" s="1"/>
  <c r="K12" i="32"/>
  <c r="E12" i="32"/>
  <c r="L12" i="32" s="1"/>
  <c r="M12" i="32" s="1"/>
  <c r="K11" i="32"/>
  <c r="L11" i="32" s="1"/>
  <c r="M11" i="32" s="1"/>
  <c r="E11" i="32"/>
  <c r="K10" i="32"/>
  <c r="E10" i="32"/>
  <c r="L10" i="32" s="1"/>
  <c r="M10" i="32" s="1"/>
  <c r="K9" i="32"/>
  <c r="E9" i="32"/>
  <c r="L9" i="32" s="1"/>
  <c r="M9" i="32" s="1"/>
  <c r="K8" i="32"/>
  <c r="P8" i="32" s="1"/>
  <c r="E8" i="32"/>
  <c r="K7" i="32"/>
  <c r="P7" i="32" s="1"/>
  <c r="E7" i="32"/>
  <c r="L7" i="32" s="1"/>
  <c r="M7" i="32" s="1"/>
  <c r="R6" i="32"/>
  <c r="Q6" i="32"/>
  <c r="K6" i="32"/>
  <c r="P6" i="32" s="1"/>
  <c r="E6" i="32"/>
  <c r="K5" i="32"/>
  <c r="P5" i="32" s="1"/>
  <c r="E5" i="32"/>
  <c r="L5" i="32" s="1"/>
  <c r="M5" i="32" s="1"/>
  <c r="K4" i="32"/>
  <c r="P4" i="32" s="1"/>
  <c r="Q4" i="32" s="1"/>
  <c r="R4" i="32" s="1"/>
  <c r="E4" i="32"/>
  <c r="L4" i="32" s="1"/>
  <c r="M4" i="32" s="1"/>
  <c r="E5" i="31"/>
  <c r="E6" i="31"/>
  <c r="E7" i="31"/>
  <c r="E8" i="31"/>
  <c r="E9" i="31"/>
  <c r="E10" i="31"/>
  <c r="E11" i="31"/>
  <c r="E12" i="31"/>
  <c r="E13" i="31"/>
  <c r="E4" i="31"/>
  <c r="E4" i="30"/>
  <c r="K13" i="31"/>
  <c r="K12" i="31"/>
  <c r="K11" i="31"/>
  <c r="K10" i="31"/>
  <c r="L10" i="31"/>
  <c r="M10" i="31" s="1"/>
  <c r="K9" i="31"/>
  <c r="K8" i="31"/>
  <c r="P8" i="31" s="1"/>
  <c r="K7" i="31"/>
  <c r="P7" i="31" s="1"/>
  <c r="R6" i="31"/>
  <c r="Q6" i="31"/>
  <c r="K6" i="31"/>
  <c r="P6" i="31" s="1"/>
  <c r="K5" i="31"/>
  <c r="P5" i="31" s="1"/>
  <c r="K4" i="31"/>
  <c r="P4" i="31" s="1"/>
  <c r="Q4" i="31" s="1"/>
  <c r="R4" i="31" s="1"/>
  <c r="M13" i="33" l="1"/>
  <c r="N13" i="33" s="1"/>
  <c r="M10" i="33"/>
  <c r="N10" i="33" s="1"/>
  <c r="M6" i="33"/>
  <c r="N6" i="33" s="1"/>
  <c r="M11" i="33"/>
  <c r="N11" i="33" s="1"/>
  <c r="M12" i="33"/>
  <c r="N12" i="33" s="1"/>
  <c r="M9" i="33"/>
  <c r="N9" i="33" s="1"/>
  <c r="M4" i="33"/>
  <c r="N4" i="33" s="1"/>
  <c r="L6" i="32"/>
  <c r="M6" i="32" s="1"/>
  <c r="L8" i="32"/>
  <c r="M8" i="32" s="1"/>
  <c r="S4" i="32"/>
  <c r="S4" i="31"/>
  <c r="L5" i="31"/>
  <c r="M5" i="31" s="1"/>
  <c r="L4" i="31"/>
  <c r="M4" i="31" s="1"/>
  <c r="L7" i="31"/>
  <c r="M7" i="31" s="1"/>
  <c r="L9" i="31"/>
  <c r="M9" i="31" s="1"/>
  <c r="L13" i="31"/>
  <c r="M13" i="31" s="1"/>
  <c r="L6" i="31"/>
  <c r="M6" i="31" s="1"/>
  <c r="L8" i="31"/>
  <c r="M8" i="31" s="1"/>
  <c r="L12" i="31"/>
  <c r="M12" i="31" s="1"/>
  <c r="L11" i="31"/>
  <c r="M11" i="31" s="1"/>
  <c r="K13" i="30"/>
  <c r="E13" i="30"/>
  <c r="K12" i="30"/>
  <c r="E12" i="30"/>
  <c r="L12" i="30" s="1"/>
  <c r="M12" i="30" s="1"/>
  <c r="K11" i="30"/>
  <c r="E11" i="30"/>
  <c r="K10" i="30"/>
  <c r="E10" i="30"/>
  <c r="L10" i="30" s="1"/>
  <c r="M10" i="30" s="1"/>
  <c r="K9" i="30"/>
  <c r="E9" i="30"/>
  <c r="K8" i="30"/>
  <c r="E8" i="30"/>
  <c r="K7" i="30"/>
  <c r="P7" i="30" s="1"/>
  <c r="E7" i="30"/>
  <c r="L7" i="30" s="1"/>
  <c r="M7" i="30" s="1"/>
  <c r="R6" i="30"/>
  <c r="Q6" i="30"/>
  <c r="K6" i="30"/>
  <c r="P6" i="30" s="1"/>
  <c r="E6" i="30"/>
  <c r="K5" i="30"/>
  <c r="P5" i="30" s="1"/>
  <c r="E5" i="30"/>
  <c r="L5" i="30" s="1"/>
  <c r="M5" i="30" s="1"/>
  <c r="K4" i="30"/>
  <c r="P4" i="30" s="1"/>
  <c r="Q4" i="30" s="1"/>
  <c r="R4" i="30" s="1"/>
  <c r="S4" i="30" s="1"/>
  <c r="K4" i="29"/>
  <c r="E4" i="29"/>
  <c r="M9" i="29"/>
  <c r="M8" i="29"/>
  <c r="M7" i="29"/>
  <c r="L7" i="29"/>
  <c r="K13" i="29"/>
  <c r="E13" i="29"/>
  <c r="L13" i="29" s="1"/>
  <c r="M13" i="29" s="1"/>
  <c r="K12" i="29"/>
  <c r="E12" i="29"/>
  <c r="K11" i="29"/>
  <c r="E11" i="29"/>
  <c r="K10" i="29"/>
  <c r="E10" i="29"/>
  <c r="K9" i="29"/>
  <c r="E9" i="29"/>
  <c r="L9" i="29" s="1"/>
  <c r="K8" i="29"/>
  <c r="L8" i="29" s="1"/>
  <c r="E8" i="29"/>
  <c r="K7" i="29"/>
  <c r="E7" i="29"/>
  <c r="Q6" i="29"/>
  <c r="K6" i="29"/>
  <c r="E6" i="29"/>
  <c r="L6" i="29" s="1"/>
  <c r="M6" i="29" s="1"/>
  <c r="K5" i="29"/>
  <c r="P5" i="29" s="1"/>
  <c r="E5" i="29"/>
  <c r="R4" i="27"/>
  <c r="S4" i="27" s="1"/>
  <c r="R6" i="27"/>
  <c r="Q4" i="27"/>
  <c r="P4" i="27"/>
  <c r="Q6" i="27"/>
  <c r="P8" i="27"/>
  <c r="P7" i="27"/>
  <c r="P6" i="27"/>
  <c r="P5" i="27"/>
  <c r="L13" i="27"/>
  <c r="M13" i="27" s="1"/>
  <c r="L11" i="27"/>
  <c r="M11" i="27" s="1"/>
  <c r="L8" i="27"/>
  <c r="L7" i="27"/>
  <c r="L6" i="27"/>
  <c r="M6" i="27" s="1"/>
  <c r="L5" i="27"/>
  <c r="M5" i="27" s="1"/>
  <c r="L4" i="27"/>
  <c r="M4" i="27"/>
  <c r="F13" i="27"/>
  <c r="F12" i="27"/>
  <c r="F11" i="27"/>
  <c r="F10" i="27"/>
  <c r="F9" i="27"/>
  <c r="F8" i="27"/>
  <c r="F7" i="27"/>
  <c r="F6" i="27"/>
  <c r="F5" i="27"/>
  <c r="F4" i="27"/>
  <c r="G29" i="27"/>
  <c r="C20" i="27"/>
  <c r="D89" i="27"/>
  <c r="M86" i="27"/>
  <c r="M85" i="27"/>
  <c r="M84" i="27"/>
  <c r="L84" i="27"/>
  <c r="E95" i="27"/>
  <c r="K86" i="27"/>
  <c r="K85" i="27"/>
  <c r="K84" i="27"/>
  <c r="A86" i="27"/>
  <c r="C86" i="27" s="1"/>
  <c r="E86" i="27" s="1"/>
  <c r="H86" i="27" s="1"/>
  <c r="F86" i="27"/>
  <c r="F85" i="27"/>
  <c r="H85" i="27" s="1"/>
  <c r="E85" i="27"/>
  <c r="G85" i="27" s="1"/>
  <c r="H84" i="27"/>
  <c r="G84" i="27"/>
  <c r="F84" i="27"/>
  <c r="E84" i="27"/>
  <c r="D86" i="27"/>
  <c r="D85" i="27"/>
  <c r="D84" i="27"/>
  <c r="C85" i="27"/>
  <c r="C84" i="27"/>
  <c r="B86" i="27"/>
  <c r="B85" i="27"/>
  <c r="B84" i="27"/>
  <c r="A85" i="27"/>
  <c r="A84" i="27"/>
  <c r="K79" i="27"/>
  <c r="I82" i="27"/>
  <c r="I80" i="27"/>
  <c r="I79" i="27"/>
  <c r="H79" i="27"/>
  <c r="H80" i="27"/>
  <c r="F80" i="27"/>
  <c r="E80" i="27"/>
  <c r="D80" i="27"/>
  <c r="F79" i="27"/>
  <c r="E79" i="27"/>
  <c r="D79" i="27"/>
  <c r="C79" i="27"/>
  <c r="C81" i="27"/>
  <c r="C80" i="27"/>
  <c r="C73" i="27"/>
  <c r="B73" i="27"/>
  <c r="D65" i="27"/>
  <c r="D64" i="27"/>
  <c r="D63" i="27"/>
  <c r="E65" i="27"/>
  <c r="E64" i="27"/>
  <c r="E63" i="27"/>
  <c r="C65" i="27"/>
  <c r="B65" i="27"/>
  <c r="B63" i="27"/>
  <c r="C64" i="27"/>
  <c r="B64" i="27"/>
  <c r="C69" i="27"/>
  <c r="C70" i="27" s="1"/>
  <c r="F71" i="27"/>
  <c r="D57" i="27"/>
  <c r="C63" i="27"/>
  <c r="B70" i="27"/>
  <c r="B69" i="27"/>
  <c r="D42" i="27"/>
  <c r="D41" i="27"/>
  <c r="G57" i="27"/>
  <c r="H57" i="27" s="1"/>
  <c r="I59" i="27"/>
  <c r="H59" i="27"/>
  <c r="I58" i="27"/>
  <c r="H58" i="27"/>
  <c r="I57" i="27"/>
  <c r="G59" i="27"/>
  <c r="G58" i="27"/>
  <c r="E59" i="27"/>
  <c r="D59" i="27"/>
  <c r="E58" i="27"/>
  <c r="D58" i="27"/>
  <c r="E57" i="27"/>
  <c r="C59" i="27"/>
  <c r="C58" i="27"/>
  <c r="C57" i="27"/>
  <c r="B59" i="27"/>
  <c r="B58" i="27"/>
  <c r="B57" i="27"/>
  <c r="I48" i="27"/>
  <c r="I49" i="27"/>
  <c r="I50" i="27" s="1"/>
  <c r="I46" i="27"/>
  <c r="D29" i="27"/>
  <c r="D28" i="27"/>
  <c r="D52" i="27"/>
  <c r="D51" i="27"/>
  <c r="D50" i="27"/>
  <c r="D49" i="27"/>
  <c r="C38" i="26"/>
  <c r="E37" i="26"/>
  <c r="A38" i="26"/>
  <c r="E36" i="27"/>
  <c r="G36" i="27" s="1"/>
  <c r="D36" i="27"/>
  <c r="C36" i="27"/>
  <c r="G35" i="27"/>
  <c r="C35" i="27"/>
  <c r="B35" i="27"/>
  <c r="E34" i="27"/>
  <c r="G34" i="27" s="1"/>
  <c r="C34" i="27"/>
  <c r="G33" i="27"/>
  <c r="C33" i="27"/>
  <c r="J32" i="27"/>
  <c r="B36" i="27"/>
  <c r="D34" i="27"/>
  <c r="D33" i="27"/>
  <c r="K18" i="27"/>
  <c r="E18" i="27"/>
  <c r="K17" i="27"/>
  <c r="E17" i="27"/>
  <c r="L17" i="27" s="1"/>
  <c r="M17" i="27" s="1"/>
  <c r="K16" i="27"/>
  <c r="E16" i="27"/>
  <c r="L16" i="27" s="1"/>
  <c r="M16" i="27" s="1"/>
  <c r="K15" i="27"/>
  <c r="E15" i="27"/>
  <c r="K14" i="27"/>
  <c r="E14" i="27"/>
  <c r="L14" i="27" s="1"/>
  <c r="M14" i="27" s="1"/>
  <c r="K13" i="27"/>
  <c r="E13" i="27"/>
  <c r="K12" i="27"/>
  <c r="L12" i="27" s="1"/>
  <c r="M12" i="27" s="1"/>
  <c r="E12" i="27"/>
  <c r="K11" i="27"/>
  <c r="E11" i="27"/>
  <c r="K10" i="27"/>
  <c r="L10" i="27" s="1"/>
  <c r="M10" i="27" s="1"/>
  <c r="E10" i="27"/>
  <c r="K9" i="27"/>
  <c r="L9" i="27" s="1"/>
  <c r="M9" i="27" s="1"/>
  <c r="E9" i="27"/>
  <c r="K8" i="27"/>
  <c r="E8" i="27"/>
  <c r="M8" i="27" s="1"/>
  <c r="K7" i="27"/>
  <c r="E7" i="27"/>
  <c r="K6" i="27"/>
  <c r="E6" i="27"/>
  <c r="K5" i="27"/>
  <c r="E5" i="27"/>
  <c r="K4" i="27"/>
  <c r="E4" i="27"/>
  <c r="G36" i="26"/>
  <c r="E36" i="26"/>
  <c r="C36" i="26"/>
  <c r="B36" i="26"/>
  <c r="G35" i="26"/>
  <c r="C35" i="26"/>
  <c r="E34" i="26"/>
  <c r="C34" i="26"/>
  <c r="D34" i="26" s="1"/>
  <c r="B34" i="26"/>
  <c r="G33" i="26"/>
  <c r="C33" i="26"/>
  <c r="J32" i="26"/>
  <c r="D29" i="26"/>
  <c r="D36" i="26" s="1"/>
  <c r="D42" i="26" s="1"/>
  <c r="D28" i="26"/>
  <c r="D35" i="26" s="1"/>
  <c r="D41" i="26" s="1"/>
  <c r="F27" i="26"/>
  <c r="D27" i="26"/>
  <c r="F26" i="26"/>
  <c r="H26" i="26" s="1"/>
  <c r="D26" i="26"/>
  <c r="D33" i="26" s="1"/>
  <c r="K18" i="26"/>
  <c r="E18" i="26"/>
  <c r="K17" i="26"/>
  <c r="E17" i="26"/>
  <c r="L17" i="26" s="1"/>
  <c r="M17" i="26" s="1"/>
  <c r="K16" i="26"/>
  <c r="E16" i="26"/>
  <c r="L16" i="26" s="1"/>
  <c r="M16" i="26" s="1"/>
  <c r="K15" i="26"/>
  <c r="E15" i="26"/>
  <c r="K14" i="26"/>
  <c r="E14" i="26"/>
  <c r="K13" i="26"/>
  <c r="E13" i="26"/>
  <c r="L13" i="26" s="1"/>
  <c r="M13" i="26" s="1"/>
  <c r="K12" i="26"/>
  <c r="E12" i="26"/>
  <c r="K11" i="26"/>
  <c r="E11" i="26"/>
  <c r="K10" i="26"/>
  <c r="E10" i="26"/>
  <c r="K9" i="26"/>
  <c r="E9" i="26"/>
  <c r="L9" i="26" s="1"/>
  <c r="M9" i="26" s="1"/>
  <c r="K8" i="26"/>
  <c r="E8" i="26"/>
  <c r="K7" i="26"/>
  <c r="E7" i="26"/>
  <c r="L7" i="26" s="1"/>
  <c r="M7" i="26" s="1"/>
  <c r="K6" i="26"/>
  <c r="E6" i="26"/>
  <c r="K5" i="26"/>
  <c r="E5" i="26"/>
  <c r="L5" i="26" s="1"/>
  <c r="M5" i="26" s="1"/>
  <c r="K4" i="26"/>
  <c r="E4" i="26"/>
  <c r="D42" i="25"/>
  <c r="D41" i="25"/>
  <c r="D36" i="25"/>
  <c r="C36" i="25"/>
  <c r="L12" i="25"/>
  <c r="K12" i="25"/>
  <c r="D35" i="25"/>
  <c r="D34" i="25"/>
  <c r="D33" i="25"/>
  <c r="C35" i="25"/>
  <c r="C34" i="25"/>
  <c r="C33" i="25"/>
  <c r="M18" i="25"/>
  <c r="M17" i="25"/>
  <c r="M6" i="25"/>
  <c r="M4" i="25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D26" i="25"/>
  <c r="C36" i="24"/>
  <c r="C35" i="24"/>
  <c r="C34" i="24"/>
  <c r="C33" i="24"/>
  <c r="K23" i="24"/>
  <c r="K22" i="24"/>
  <c r="K21" i="24"/>
  <c r="E18" i="24"/>
  <c r="E17" i="24"/>
  <c r="E16" i="24"/>
  <c r="E15" i="24"/>
  <c r="E14" i="24"/>
  <c r="E13" i="24"/>
  <c r="E12" i="24"/>
  <c r="L12" i="24" s="1"/>
  <c r="E11" i="24"/>
  <c r="L11" i="24" s="1"/>
  <c r="E10" i="24"/>
  <c r="E9" i="24"/>
  <c r="E8" i="24"/>
  <c r="E7" i="24"/>
  <c r="E6" i="24"/>
  <c r="E5" i="24"/>
  <c r="E4" i="24"/>
  <c r="K4" i="24"/>
  <c r="G36" i="25"/>
  <c r="E36" i="25"/>
  <c r="G35" i="25"/>
  <c r="E34" i="25"/>
  <c r="E37" i="25" s="1"/>
  <c r="G33" i="25"/>
  <c r="J32" i="25"/>
  <c r="D29" i="25"/>
  <c r="B36" i="25" s="1"/>
  <c r="D28" i="25"/>
  <c r="B35" i="25" s="1"/>
  <c r="D27" i="25"/>
  <c r="F27" i="25" s="1"/>
  <c r="F26" i="25"/>
  <c r="H26" i="25" s="1"/>
  <c r="K18" i="25"/>
  <c r="E18" i="25"/>
  <c r="K17" i="25"/>
  <c r="E17" i="25"/>
  <c r="L17" i="25" s="1"/>
  <c r="K16" i="25"/>
  <c r="E16" i="25"/>
  <c r="K15" i="25"/>
  <c r="E15" i="25"/>
  <c r="L15" i="25" s="1"/>
  <c r="M15" i="25" s="1"/>
  <c r="K14" i="25"/>
  <c r="E14" i="25"/>
  <c r="L14" i="25" s="1"/>
  <c r="M14" i="25" s="1"/>
  <c r="K13" i="25"/>
  <c r="L13" i="25" s="1"/>
  <c r="M13" i="25" s="1"/>
  <c r="E13" i="25"/>
  <c r="E12" i="25"/>
  <c r="K11" i="25"/>
  <c r="E11" i="25"/>
  <c r="L10" i="25"/>
  <c r="M10" i="25" s="1"/>
  <c r="K10" i="25"/>
  <c r="E10" i="25"/>
  <c r="K9" i="25"/>
  <c r="E9" i="25"/>
  <c r="L9" i="25" s="1"/>
  <c r="M9" i="25" s="1"/>
  <c r="K8" i="25"/>
  <c r="E8" i="25"/>
  <c r="K7" i="25"/>
  <c r="E7" i="25"/>
  <c r="L7" i="25" s="1"/>
  <c r="M7" i="25" s="1"/>
  <c r="K6" i="25"/>
  <c r="E6" i="25"/>
  <c r="L6" i="25" s="1"/>
  <c r="K5" i="25"/>
  <c r="E5" i="25"/>
  <c r="L5" i="25" s="1"/>
  <c r="M5" i="25" s="1"/>
  <c r="K4" i="25"/>
  <c r="E4" i="25"/>
  <c r="L4" i="25" s="1"/>
  <c r="C36" i="23"/>
  <c r="C35" i="23"/>
  <c r="C34" i="23"/>
  <c r="C33" i="23"/>
  <c r="B33" i="23"/>
  <c r="M17" i="23"/>
  <c r="E36" i="24"/>
  <c r="G36" i="24" s="1"/>
  <c r="B36" i="24"/>
  <c r="G35" i="24"/>
  <c r="E34" i="24"/>
  <c r="E37" i="24" s="1"/>
  <c r="B34" i="24"/>
  <c r="G33" i="24"/>
  <c r="J32" i="24"/>
  <c r="D29" i="24"/>
  <c r="D28" i="24"/>
  <c r="B35" i="24" s="1"/>
  <c r="D27" i="24"/>
  <c r="F27" i="24" s="1"/>
  <c r="D26" i="24"/>
  <c r="F26" i="24" s="1"/>
  <c r="H26" i="24" s="1"/>
  <c r="K18" i="24"/>
  <c r="L18" i="24" s="1"/>
  <c r="K17" i="24"/>
  <c r="K16" i="24"/>
  <c r="L16" i="24"/>
  <c r="K15" i="24"/>
  <c r="K14" i="24"/>
  <c r="L14" i="24"/>
  <c r="K13" i="24"/>
  <c r="K12" i="24"/>
  <c r="K11" i="24"/>
  <c r="K10" i="24"/>
  <c r="L10" i="24" s="1"/>
  <c r="K9" i="24"/>
  <c r="K8" i="24"/>
  <c r="K7" i="24"/>
  <c r="L7" i="24"/>
  <c r="K6" i="24"/>
  <c r="K5" i="24"/>
  <c r="L5" i="24" s="1"/>
  <c r="B36" i="23"/>
  <c r="B35" i="23"/>
  <c r="B34" i="23"/>
  <c r="M14" i="23"/>
  <c r="M5" i="23"/>
  <c r="M4" i="23"/>
  <c r="E21" i="23"/>
  <c r="B38" i="22"/>
  <c r="E4" i="22"/>
  <c r="C36" i="22"/>
  <c r="C35" i="22"/>
  <c r="E37" i="23"/>
  <c r="E36" i="23"/>
  <c r="G36" i="23" s="1"/>
  <c r="G35" i="23"/>
  <c r="E34" i="23"/>
  <c r="G34" i="23" s="1"/>
  <c r="G33" i="23"/>
  <c r="J32" i="23"/>
  <c r="D29" i="23"/>
  <c r="D28" i="23"/>
  <c r="D27" i="23"/>
  <c r="F27" i="23" s="1"/>
  <c r="D26" i="23"/>
  <c r="F26" i="23" s="1"/>
  <c r="K18" i="23"/>
  <c r="E18" i="23"/>
  <c r="K17" i="23"/>
  <c r="E17" i="23"/>
  <c r="K16" i="23"/>
  <c r="E16" i="23"/>
  <c r="L16" i="23" s="1"/>
  <c r="M16" i="23" s="1"/>
  <c r="K15" i="23"/>
  <c r="E15" i="23"/>
  <c r="K14" i="23"/>
  <c r="E14" i="23"/>
  <c r="L14" i="23" s="1"/>
  <c r="K13" i="23"/>
  <c r="E13" i="23"/>
  <c r="K12" i="23"/>
  <c r="E12" i="23"/>
  <c r="K11" i="23"/>
  <c r="E11" i="23"/>
  <c r="L11" i="23" s="1"/>
  <c r="M11" i="23" s="1"/>
  <c r="K10" i="23"/>
  <c r="E10" i="23"/>
  <c r="L10" i="23" s="1"/>
  <c r="M10" i="23" s="1"/>
  <c r="K9" i="23"/>
  <c r="E9" i="23"/>
  <c r="K8" i="23"/>
  <c r="E8" i="23"/>
  <c r="L8" i="23" s="1"/>
  <c r="M8" i="23" s="1"/>
  <c r="K7" i="23"/>
  <c r="E7" i="23"/>
  <c r="K6" i="23"/>
  <c r="E6" i="23"/>
  <c r="K5" i="23"/>
  <c r="E5" i="23"/>
  <c r="K4" i="23"/>
  <c r="E4" i="23"/>
  <c r="J32" i="22"/>
  <c r="B36" i="22"/>
  <c r="G33" i="22"/>
  <c r="E37" i="22"/>
  <c r="B33" i="22"/>
  <c r="G34" i="22"/>
  <c r="G35" i="22"/>
  <c r="G36" i="22"/>
  <c r="E36" i="22"/>
  <c r="E34" i="22"/>
  <c r="B35" i="22"/>
  <c r="B34" i="22"/>
  <c r="H26" i="22"/>
  <c r="F27" i="22"/>
  <c r="F26" i="22"/>
  <c r="D29" i="22"/>
  <c r="D28" i="22"/>
  <c r="D27" i="22"/>
  <c r="D26" i="22"/>
  <c r="K18" i="22"/>
  <c r="E18" i="22"/>
  <c r="L18" i="22" s="1"/>
  <c r="M18" i="22" s="1"/>
  <c r="K17" i="22"/>
  <c r="E17" i="22"/>
  <c r="L17" i="22" s="1"/>
  <c r="M17" i="22" s="1"/>
  <c r="K16" i="22"/>
  <c r="E16" i="22"/>
  <c r="L16" i="22" s="1"/>
  <c r="M16" i="22" s="1"/>
  <c r="K15" i="22"/>
  <c r="E15" i="22"/>
  <c r="K14" i="22"/>
  <c r="E14" i="22"/>
  <c r="L14" i="22" s="1"/>
  <c r="M14" i="22" s="1"/>
  <c r="K13" i="22"/>
  <c r="E13" i="22"/>
  <c r="L13" i="22" s="1"/>
  <c r="M13" i="22" s="1"/>
  <c r="K12" i="22"/>
  <c r="E12" i="22"/>
  <c r="L12" i="22" s="1"/>
  <c r="M12" i="22" s="1"/>
  <c r="K11" i="22"/>
  <c r="E11" i="22"/>
  <c r="L11" i="22" s="1"/>
  <c r="M11" i="22" s="1"/>
  <c r="K10" i="22"/>
  <c r="E10" i="22"/>
  <c r="K9" i="22"/>
  <c r="E9" i="22"/>
  <c r="K8" i="22"/>
  <c r="E8" i="22"/>
  <c r="L8" i="22" s="1"/>
  <c r="M8" i="22" s="1"/>
  <c r="K7" i="22"/>
  <c r="E7" i="22"/>
  <c r="K6" i="22"/>
  <c r="E6" i="22"/>
  <c r="L6" i="22" s="1"/>
  <c r="M6" i="22" s="1"/>
  <c r="K5" i="22"/>
  <c r="E5" i="22"/>
  <c r="K4" i="22"/>
  <c r="L4" i="22"/>
  <c r="M4" i="22" s="1"/>
  <c r="M12" i="21"/>
  <c r="K18" i="21"/>
  <c r="E18" i="21"/>
  <c r="L18" i="21" s="1"/>
  <c r="M18" i="21" s="1"/>
  <c r="K17" i="21"/>
  <c r="E17" i="21"/>
  <c r="K16" i="21"/>
  <c r="E16" i="21"/>
  <c r="L16" i="21" s="1"/>
  <c r="M16" i="21" s="1"/>
  <c r="K15" i="21"/>
  <c r="E15" i="21"/>
  <c r="K14" i="21"/>
  <c r="E14" i="21"/>
  <c r="L14" i="21" s="1"/>
  <c r="M14" i="21" s="1"/>
  <c r="K13" i="21"/>
  <c r="E13" i="21"/>
  <c r="K12" i="21"/>
  <c r="E12" i="21"/>
  <c r="L12" i="21" s="1"/>
  <c r="K11" i="21"/>
  <c r="E11" i="21"/>
  <c r="K10" i="21"/>
  <c r="E10" i="21"/>
  <c r="K9" i="21"/>
  <c r="E9" i="21"/>
  <c r="K8" i="21"/>
  <c r="E8" i="21"/>
  <c r="K7" i="21"/>
  <c r="E7" i="21"/>
  <c r="L7" i="21" s="1"/>
  <c r="M7" i="21" s="1"/>
  <c r="K6" i="21"/>
  <c r="E6" i="21"/>
  <c r="L6" i="21" s="1"/>
  <c r="M6" i="21" s="1"/>
  <c r="K5" i="21"/>
  <c r="E5" i="21"/>
  <c r="K4" i="21"/>
  <c r="L4" i="21" s="1"/>
  <c r="M4" i="21" s="1"/>
  <c r="E4" i="21"/>
  <c r="M16" i="20"/>
  <c r="M9" i="20"/>
  <c r="K18" i="20"/>
  <c r="E18" i="20"/>
  <c r="L18" i="20" s="1"/>
  <c r="M18" i="20" s="1"/>
  <c r="K17" i="20"/>
  <c r="E17" i="20"/>
  <c r="K16" i="20"/>
  <c r="E16" i="20"/>
  <c r="L16" i="20" s="1"/>
  <c r="K15" i="20"/>
  <c r="E15" i="20"/>
  <c r="K14" i="20"/>
  <c r="E14" i="20"/>
  <c r="K13" i="20"/>
  <c r="L13" i="20" s="1"/>
  <c r="M13" i="20" s="1"/>
  <c r="E13" i="20"/>
  <c r="K12" i="20"/>
  <c r="E12" i="20"/>
  <c r="L12" i="20" s="1"/>
  <c r="M12" i="20" s="1"/>
  <c r="K11" i="20"/>
  <c r="E11" i="20"/>
  <c r="L11" i="20" s="1"/>
  <c r="M11" i="20" s="1"/>
  <c r="K10" i="20"/>
  <c r="E10" i="20"/>
  <c r="K9" i="20"/>
  <c r="E9" i="20"/>
  <c r="L9" i="20" s="1"/>
  <c r="K8" i="20"/>
  <c r="E8" i="20"/>
  <c r="K7" i="20"/>
  <c r="E7" i="20"/>
  <c r="L7" i="20" s="1"/>
  <c r="M7" i="20" s="1"/>
  <c r="K6" i="20"/>
  <c r="E6" i="20"/>
  <c r="K5" i="20"/>
  <c r="E5" i="20"/>
  <c r="K4" i="20"/>
  <c r="L4" i="20" s="1"/>
  <c r="M4" i="20" s="1"/>
  <c r="E4" i="20"/>
  <c r="M11" i="18"/>
  <c r="M10" i="18"/>
  <c r="M9" i="18"/>
  <c r="M8" i="18"/>
  <c r="M7" i="18"/>
  <c r="M6" i="18"/>
  <c r="M5" i="18"/>
  <c r="M4" i="18"/>
  <c r="K18" i="19"/>
  <c r="E18" i="19"/>
  <c r="L18" i="19" s="1"/>
  <c r="M18" i="19" s="1"/>
  <c r="K17" i="19"/>
  <c r="E17" i="19"/>
  <c r="L17" i="19" s="1"/>
  <c r="M17" i="19" s="1"/>
  <c r="K16" i="19"/>
  <c r="E16" i="19"/>
  <c r="L16" i="19" s="1"/>
  <c r="M16" i="19" s="1"/>
  <c r="K15" i="19"/>
  <c r="E15" i="19"/>
  <c r="L15" i="19" s="1"/>
  <c r="M15" i="19" s="1"/>
  <c r="K14" i="19"/>
  <c r="E14" i="19"/>
  <c r="K13" i="19"/>
  <c r="E13" i="19"/>
  <c r="L13" i="19" s="1"/>
  <c r="M13" i="19" s="1"/>
  <c r="K12" i="19"/>
  <c r="E12" i="19"/>
  <c r="L12" i="19" s="1"/>
  <c r="M12" i="19" s="1"/>
  <c r="K11" i="19"/>
  <c r="E11" i="19"/>
  <c r="L11" i="19" s="1"/>
  <c r="M11" i="19" s="1"/>
  <c r="K10" i="19"/>
  <c r="E10" i="19"/>
  <c r="L10" i="19" s="1"/>
  <c r="M10" i="19" s="1"/>
  <c r="K9" i="19"/>
  <c r="E9" i="19"/>
  <c r="L9" i="19" s="1"/>
  <c r="M9" i="19" s="1"/>
  <c r="K8" i="19"/>
  <c r="L8" i="19" s="1"/>
  <c r="M8" i="19" s="1"/>
  <c r="E8" i="19"/>
  <c r="K7" i="19"/>
  <c r="E7" i="19"/>
  <c r="L7" i="19" s="1"/>
  <c r="M7" i="19" s="1"/>
  <c r="K6" i="19"/>
  <c r="L6" i="19" s="1"/>
  <c r="M6" i="19" s="1"/>
  <c r="E6" i="19"/>
  <c r="K5" i="19"/>
  <c r="E5" i="19"/>
  <c r="L5" i="19" s="1"/>
  <c r="M5" i="19" s="1"/>
  <c r="L4" i="19"/>
  <c r="M4" i="19" s="1"/>
  <c r="N4" i="19" s="1"/>
  <c r="K4" i="19"/>
  <c r="E4" i="19"/>
  <c r="E24" i="18"/>
  <c r="E22" i="18"/>
  <c r="E4" i="18"/>
  <c r="K18" i="18"/>
  <c r="E18" i="18"/>
  <c r="L18" i="18" s="1"/>
  <c r="M18" i="18" s="1"/>
  <c r="K17" i="18"/>
  <c r="E17" i="18"/>
  <c r="K16" i="18"/>
  <c r="E16" i="18"/>
  <c r="K15" i="18"/>
  <c r="E15" i="18"/>
  <c r="K14" i="18"/>
  <c r="E14" i="18"/>
  <c r="K13" i="18"/>
  <c r="E13" i="18"/>
  <c r="L13" i="18" s="1"/>
  <c r="M13" i="18" s="1"/>
  <c r="K12" i="18"/>
  <c r="E12" i="18"/>
  <c r="E23" i="18" s="1"/>
  <c r="K11" i="18"/>
  <c r="E11" i="18"/>
  <c r="K10" i="18"/>
  <c r="E10" i="18"/>
  <c r="K9" i="18"/>
  <c r="E9" i="18"/>
  <c r="K8" i="18"/>
  <c r="E8" i="18"/>
  <c r="L8" i="18" s="1"/>
  <c r="K7" i="18"/>
  <c r="E7" i="18"/>
  <c r="K6" i="18"/>
  <c r="E6" i="18"/>
  <c r="K5" i="18"/>
  <c r="E5" i="18"/>
  <c r="K4" i="18"/>
  <c r="L4" i="18" s="1"/>
  <c r="M13" i="17"/>
  <c r="M9" i="17"/>
  <c r="M4" i="17"/>
  <c r="K14" i="17"/>
  <c r="K18" i="17"/>
  <c r="E18" i="17"/>
  <c r="K17" i="17"/>
  <c r="E17" i="17"/>
  <c r="L17" i="17" s="1"/>
  <c r="M17" i="17" s="1"/>
  <c r="K16" i="17"/>
  <c r="E16" i="17"/>
  <c r="K15" i="17"/>
  <c r="E15" i="17"/>
  <c r="E14" i="17"/>
  <c r="K13" i="17"/>
  <c r="E13" i="17"/>
  <c r="L13" i="17" s="1"/>
  <c r="K12" i="17"/>
  <c r="E12" i="17"/>
  <c r="K11" i="17"/>
  <c r="E11" i="17"/>
  <c r="K10" i="17"/>
  <c r="E10" i="17"/>
  <c r="K9" i="17"/>
  <c r="E9" i="17"/>
  <c r="L9" i="17" s="1"/>
  <c r="K8" i="17"/>
  <c r="E8" i="17"/>
  <c r="K7" i="17"/>
  <c r="E7" i="17"/>
  <c r="K6" i="17"/>
  <c r="E6" i="17"/>
  <c r="L6" i="17" s="1"/>
  <c r="M6" i="17" s="1"/>
  <c r="K5" i="17"/>
  <c r="E5" i="17"/>
  <c r="K4" i="17"/>
  <c r="E4" i="17"/>
  <c r="L4" i="30" l="1"/>
  <c r="M4" i="30" s="1"/>
  <c r="L6" i="30"/>
  <c r="M6" i="30" s="1"/>
  <c r="L9" i="30"/>
  <c r="M9" i="30" s="1"/>
  <c r="L13" i="30"/>
  <c r="M13" i="30" s="1"/>
  <c r="L11" i="30"/>
  <c r="M11" i="30" s="1"/>
  <c r="L8" i="30"/>
  <c r="M8" i="30" s="1"/>
  <c r="P8" i="30"/>
  <c r="L5" i="29"/>
  <c r="M5" i="29" s="1"/>
  <c r="L12" i="29"/>
  <c r="M12" i="29" s="1"/>
  <c r="L10" i="29"/>
  <c r="M10" i="29" s="1"/>
  <c r="P8" i="29"/>
  <c r="L4" i="29"/>
  <c r="M4" i="29" s="1"/>
  <c r="L11" i="29"/>
  <c r="M11" i="29" s="1"/>
  <c r="R6" i="29"/>
  <c r="P4" i="29"/>
  <c r="Q4" i="29" s="1"/>
  <c r="R4" i="29" s="1"/>
  <c r="S4" i="29" s="1"/>
  <c r="P6" i="29"/>
  <c r="P7" i="29"/>
  <c r="L18" i="27"/>
  <c r="M18" i="27" s="1"/>
  <c r="M7" i="27"/>
  <c r="L15" i="27"/>
  <c r="M15" i="27" s="1"/>
  <c r="G86" i="27"/>
  <c r="G65" i="27"/>
  <c r="I65" i="27" s="1"/>
  <c r="G64" i="27"/>
  <c r="I64" i="27" s="1"/>
  <c r="G63" i="27"/>
  <c r="I63" i="27" s="1"/>
  <c r="D35" i="27"/>
  <c r="D44" i="27"/>
  <c r="G40" i="27" s="1"/>
  <c r="F26" i="27"/>
  <c r="E37" i="27"/>
  <c r="F27" i="27"/>
  <c r="B34" i="27"/>
  <c r="B33" i="27"/>
  <c r="L6" i="26"/>
  <c r="M6" i="26" s="1"/>
  <c r="L14" i="26"/>
  <c r="M14" i="26" s="1"/>
  <c r="N14" i="26" s="1"/>
  <c r="L8" i="26"/>
  <c r="M8" i="26" s="1"/>
  <c r="L12" i="26"/>
  <c r="M12" i="26" s="1"/>
  <c r="L10" i="26"/>
  <c r="M10" i="26" s="1"/>
  <c r="L18" i="26"/>
  <c r="M18" i="26" s="1"/>
  <c r="L4" i="26"/>
  <c r="M4" i="26" s="1"/>
  <c r="L11" i="26"/>
  <c r="M11" i="26" s="1"/>
  <c r="L15" i="26"/>
  <c r="M15" i="26" s="1"/>
  <c r="D44" i="26"/>
  <c r="G42" i="26" s="1"/>
  <c r="G39" i="26"/>
  <c r="G40" i="26"/>
  <c r="B33" i="26"/>
  <c r="G34" i="26"/>
  <c r="B35" i="26"/>
  <c r="D44" i="25"/>
  <c r="M12" i="25"/>
  <c r="L8" i="25"/>
  <c r="M8" i="25" s="1"/>
  <c r="L16" i="25"/>
  <c r="M16" i="25" s="1"/>
  <c r="L11" i="25"/>
  <c r="L18" i="25"/>
  <c r="N14" i="25" s="1"/>
  <c r="L13" i="24"/>
  <c r="L9" i="24"/>
  <c r="N9" i="24" s="1"/>
  <c r="N4" i="25"/>
  <c r="B33" i="25"/>
  <c r="B34" i="25"/>
  <c r="G34" i="25"/>
  <c r="L15" i="24"/>
  <c r="L4" i="24"/>
  <c r="L8" i="24"/>
  <c r="L17" i="24"/>
  <c r="L6" i="24"/>
  <c r="B33" i="24"/>
  <c r="B38" i="24" s="1"/>
  <c r="G34" i="24"/>
  <c r="L15" i="23"/>
  <c r="M15" i="23" s="1"/>
  <c r="L12" i="23"/>
  <c r="M12" i="23" s="1"/>
  <c r="L6" i="23"/>
  <c r="M6" i="23" s="1"/>
  <c r="L17" i="23"/>
  <c r="L18" i="23"/>
  <c r="L13" i="23"/>
  <c r="M13" i="23" s="1"/>
  <c r="L7" i="23"/>
  <c r="M7" i="23" s="1"/>
  <c r="L4" i="23"/>
  <c r="L5" i="23"/>
  <c r="L9" i="23"/>
  <c r="M9" i="23" s="1"/>
  <c r="H26" i="23"/>
  <c r="B38" i="23"/>
  <c r="L15" i="22"/>
  <c r="M15" i="22" s="1"/>
  <c r="L10" i="22"/>
  <c r="M10" i="22" s="1"/>
  <c r="L13" i="21"/>
  <c r="M13" i="21" s="1"/>
  <c r="N9" i="21" s="1"/>
  <c r="L11" i="21"/>
  <c r="M11" i="21" s="1"/>
  <c r="L10" i="21"/>
  <c r="M10" i="21" s="1"/>
  <c r="L7" i="22"/>
  <c r="M7" i="22" s="1"/>
  <c r="L5" i="22"/>
  <c r="M5" i="22" s="1"/>
  <c r="N4" i="22" s="1"/>
  <c r="L9" i="22"/>
  <c r="M9" i="22" s="1"/>
  <c r="N14" i="22"/>
  <c r="L15" i="21"/>
  <c r="M15" i="21" s="1"/>
  <c r="L17" i="21"/>
  <c r="M17" i="21" s="1"/>
  <c r="L8" i="21"/>
  <c r="M8" i="21" s="1"/>
  <c r="L5" i="21"/>
  <c r="M5" i="21" s="1"/>
  <c r="L9" i="21"/>
  <c r="M9" i="21" s="1"/>
  <c r="L5" i="20"/>
  <c r="M5" i="20" s="1"/>
  <c r="L17" i="20"/>
  <c r="M17" i="20" s="1"/>
  <c r="L15" i="20"/>
  <c r="M15" i="20" s="1"/>
  <c r="L8" i="20"/>
  <c r="M8" i="20" s="1"/>
  <c r="L6" i="20"/>
  <c r="M6" i="20" s="1"/>
  <c r="L10" i="20"/>
  <c r="L14" i="20"/>
  <c r="L16" i="18"/>
  <c r="M16" i="18" s="1"/>
  <c r="L6" i="18"/>
  <c r="E24" i="19"/>
  <c r="N9" i="19"/>
  <c r="L14" i="19"/>
  <c r="M14" i="19" s="1"/>
  <c r="N14" i="19" s="1"/>
  <c r="E22" i="19"/>
  <c r="E23" i="19"/>
  <c r="L11" i="18"/>
  <c r="L7" i="18"/>
  <c r="L5" i="18"/>
  <c r="N4" i="18" s="1"/>
  <c r="L15" i="18"/>
  <c r="M15" i="18" s="1"/>
  <c r="L9" i="18"/>
  <c r="L10" i="18"/>
  <c r="L17" i="18"/>
  <c r="M17" i="18" s="1"/>
  <c r="L12" i="18"/>
  <c r="M12" i="18" s="1"/>
  <c r="L14" i="18"/>
  <c r="M14" i="18" s="1"/>
  <c r="L15" i="17"/>
  <c r="M15" i="17" s="1"/>
  <c r="L11" i="17"/>
  <c r="M11" i="17" s="1"/>
  <c r="L5" i="17"/>
  <c r="M5" i="17" s="1"/>
  <c r="L10" i="17"/>
  <c r="M10" i="17" s="1"/>
  <c r="L14" i="17"/>
  <c r="M14" i="17" s="1"/>
  <c r="L18" i="17"/>
  <c r="M18" i="17" s="1"/>
  <c r="L12" i="17"/>
  <c r="M12" i="17" s="1"/>
  <c r="L16" i="17"/>
  <c r="M16" i="17" s="1"/>
  <c r="L7" i="17"/>
  <c r="M7" i="17" s="1"/>
  <c r="L4" i="17"/>
  <c r="L8" i="17"/>
  <c r="M8" i="17" s="1"/>
  <c r="M4" i="16"/>
  <c r="K18" i="16"/>
  <c r="E18" i="16"/>
  <c r="L18" i="16" s="1"/>
  <c r="M18" i="16" s="1"/>
  <c r="K17" i="16"/>
  <c r="E17" i="16"/>
  <c r="L17" i="16" s="1"/>
  <c r="M17" i="16" s="1"/>
  <c r="K16" i="16"/>
  <c r="E16" i="16"/>
  <c r="K15" i="16"/>
  <c r="E15" i="16"/>
  <c r="L15" i="16" s="1"/>
  <c r="M15" i="16" s="1"/>
  <c r="K14" i="16"/>
  <c r="E14" i="16"/>
  <c r="K13" i="16"/>
  <c r="E13" i="16"/>
  <c r="L13" i="16" s="1"/>
  <c r="M13" i="16" s="1"/>
  <c r="K12" i="16"/>
  <c r="E12" i="16"/>
  <c r="K11" i="16"/>
  <c r="E11" i="16"/>
  <c r="L11" i="16" s="1"/>
  <c r="M11" i="16" s="1"/>
  <c r="K10" i="16"/>
  <c r="E10" i="16"/>
  <c r="K9" i="16"/>
  <c r="E9" i="16"/>
  <c r="K8" i="16"/>
  <c r="E8" i="16"/>
  <c r="K7" i="16"/>
  <c r="E7" i="16"/>
  <c r="K6" i="16"/>
  <c r="E6" i="16"/>
  <c r="L6" i="16" s="1"/>
  <c r="M6" i="16" s="1"/>
  <c r="K5" i="16"/>
  <c r="E5" i="16"/>
  <c r="K4" i="16"/>
  <c r="E4" i="16"/>
  <c r="M4" i="15"/>
  <c r="N4" i="27" l="1"/>
  <c r="N14" i="27"/>
  <c r="N9" i="27"/>
  <c r="H65" i="27"/>
  <c r="H64" i="27"/>
  <c r="H63" i="27"/>
  <c r="G39" i="27"/>
  <c r="G42" i="27"/>
  <c r="G41" i="27"/>
  <c r="B38" i="27"/>
  <c r="H26" i="27"/>
  <c r="N9" i="26"/>
  <c r="N4" i="26"/>
  <c r="G41" i="26"/>
  <c r="G43" i="26" s="1"/>
  <c r="B38" i="26"/>
  <c r="G41" i="25"/>
  <c r="G39" i="25"/>
  <c r="G40" i="25"/>
  <c r="G42" i="25"/>
  <c r="M11" i="25"/>
  <c r="N9" i="25" s="1"/>
  <c r="B38" i="25"/>
  <c r="N14" i="24"/>
  <c r="N4" i="24"/>
  <c r="M18" i="23"/>
  <c r="N14" i="23" s="1"/>
  <c r="N9" i="23"/>
  <c r="N4" i="23"/>
  <c r="N9" i="22"/>
  <c r="N14" i="21"/>
  <c r="N4" i="21"/>
  <c r="M14" i="20"/>
  <c r="N14" i="20" s="1"/>
  <c r="M10" i="20"/>
  <c r="N9" i="20" s="1"/>
  <c r="N4" i="20"/>
  <c r="N9" i="18"/>
  <c r="N14" i="18"/>
  <c r="N9" i="17"/>
  <c r="N4" i="17"/>
  <c r="N14" i="17"/>
  <c r="L14" i="16"/>
  <c r="M14" i="16" s="1"/>
  <c r="L10" i="16"/>
  <c r="M10" i="16" s="1"/>
  <c r="L7" i="16"/>
  <c r="M7" i="16" s="1"/>
  <c r="L5" i="16"/>
  <c r="M5" i="16" s="1"/>
  <c r="L9" i="16"/>
  <c r="M9" i="16" s="1"/>
  <c r="L4" i="16"/>
  <c r="L8" i="16"/>
  <c r="M8" i="16" s="1"/>
  <c r="L12" i="16"/>
  <c r="M12" i="16" s="1"/>
  <c r="L16" i="16"/>
  <c r="M16" i="16" s="1"/>
  <c r="N14" i="16" s="1"/>
  <c r="N4" i="1"/>
  <c r="K18" i="15"/>
  <c r="E18" i="15"/>
  <c r="L18" i="15" s="1"/>
  <c r="M18" i="15" s="1"/>
  <c r="K17" i="15"/>
  <c r="E17" i="15"/>
  <c r="K16" i="15"/>
  <c r="E16" i="15"/>
  <c r="K15" i="15"/>
  <c r="E15" i="15"/>
  <c r="L15" i="15" s="1"/>
  <c r="M15" i="15" s="1"/>
  <c r="K14" i="15"/>
  <c r="E14" i="15"/>
  <c r="L14" i="15" s="1"/>
  <c r="M14" i="15" s="1"/>
  <c r="K13" i="15"/>
  <c r="E13" i="15"/>
  <c r="L13" i="15" s="1"/>
  <c r="M13" i="15" s="1"/>
  <c r="K12" i="15"/>
  <c r="E12" i="15"/>
  <c r="L12" i="15" s="1"/>
  <c r="M12" i="15" s="1"/>
  <c r="K11" i="15"/>
  <c r="E11" i="15"/>
  <c r="L11" i="15" s="1"/>
  <c r="M11" i="15" s="1"/>
  <c r="K10" i="15"/>
  <c r="E10" i="15"/>
  <c r="L10" i="15" s="1"/>
  <c r="M10" i="15" s="1"/>
  <c r="K9" i="15"/>
  <c r="E9" i="15"/>
  <c r="L9" i="15" s="1"/>
  <c r="M9" i="15" s="1"/>
  <c r="K8" i="15"/>
  <c r="E8" i="15"/>
  <c r="L8" i="15" s="1"/>
  <c r="M8" i="15" s="1"/>
  <c r="K7" i="15"/>
  <c r="E7" i="15"/>
  <c r="L7" i="15" s="1"/>
  <c r="M7" i="15" s="1"/>
  <c r="K6" i="15"/>
  <c r="E6" i="15"/>
  <c r="K5" i="15"/>
  <c r="E5" i="15"/>
  <c r="L5" i="15" s="1"/>
  <c r="M5" i="15" s="1"/>
  <c r="K4" i="15"/>
  <c r="E4" i="15"/>
  <c r="L4" i="15" s="1"/>
  <c r="L16" i="1"/>
  <c r="M16" i="1" s="1"/>
  <c r="L7" i="1"/>
  <c r="M7" i="1" s="1"/>
  <c r="L6" i="1"/>
  <c r="M6" i="1" s="1"/>
  <c r="M5" i="1"/>
  <c r="M4" i="1"/>
  <c r="L5" i="1"/>
  <c r="L4" i="1"/>
  <c r="E4" i="1"/>
  <c r="K18" i="1"/>
  <c r="L18" i="1" s="1"/>
  <c r="M18" i="1" s="1"/>
  <c r="K17" i="1"/>
  <c r="L17" i="1" s="1"/>
  <c r="M17" i="1" s="1"/>
  <c r="K16" i="1"/>
  <c r="E18" i="1"/>
  <c r="E17" i="1"/>
  <c r="E16" i="1"/>
  <c r="G43" i="27" l="1"/>
  <c r="G43" i="25"/>
  <c r="N9" i="16"/>
  <c r="N4" i="16"/>
  <c r="L17" i="15"/>
  <c r="M17" i="15" s="1"/>
  <c r="L16" i="15"/>
  <c r="M16" i="15" s="1"/>
  <c r="N14" i="15"/>
  <c r="N9" i="15"/>
  <c r="L6" i="15"/>
  <c r="M6" i="15" s="1"/>
  <c r="N4" i="15" s="1"/>
  <c r="K15" i="1"/>
  <c r="L15" i="1" s="1"/>
  <c r="M15" i="1" s="1"/>
  <c r="K14" i="1"/>
  <c r="L14" i="1" s="1"/>
  <c r="M14" i="1" s="1"/>
  <c r="N14" i="1" s="1"/>
  <c r="K13" i="1"/>
  <c r="L13" i="1" s="1"/>
  <c r="M13" i="1" s="1"/>
  <c r="N9" i="1" s="1"/>
  <c r="K12" i="1"/>
  <c r="L12" i="1" s="1"/>
  <c r="M12" i="1" s="1"/>
  <c r="K11" i="1"/>
  <c r="L11" i="1" s="1"/>
  <c r="M11" i="1" s="1"/>
  <c r="K10" i="1"/>
  <c r="L10" i="1" s="1"/>
  <c r="M10" i="1" s="1"/>
  <c r="K9" i="1"/>
  <c r="L9" i="1" s="1"/>
  <c r="M9" i="1" s="1"/>
  <c r="K8" i="1"/>
  <c r="L8" i="1" s="1"/>
  <c r="M8" i="1" s="1"/>
  <c r="K7" i="1"/>
  <c r="K6" i="1"/>
  <c r="K5" i="1"/>
  <c r="K4" i="1"/>
  <c r="E15" i="1" l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<sst xmlns="http://schemas.openxmlformats.org/spreadsheetml/2006/main" count="2599" uniqueCount="264">
  <si>
    <t>Count</t>
  </si>
  <si>
    <t>Volume (µL)</t>
  </si>
  <si>
    <t>Date</t>
  </si>
  <si>
    <t>Cell/ml</t>
  </si>
  <si>
    <t>Plot 3 (FL1-H/FL3-H)</t>
  </si>
  <si>
    <t>P4</t>
  </si>
  <si>
    <t>cell counts/ml</t>
  </si>
  <si>
    <t>PLY429</t>
  </si>
  <si>
    <t>sample 9 am</t>
  </si>
  <si>
    <t>consumed</t>
  </si>
  <si>
    <t>(count/ml)</t>
  </si>
  <si>
    <t>Eaten</t>
  </si>
  <si>
    <t>Counts/ml/hour</t>
  </si>
  <si>
    <t>average</t>
  </si>
  <si>
    <t>(cells/ml/hr</t>
  </si>
  <si>
    <t xml:space="preserve">sample 2pm </t>
  </si>
  <si>
    <t>xx</t>
  </si>
  <si>
    <t>sample 9:45 am</t>
  </si>
  <si>
    <t>(6-15)</t>
  </si>
  <si>
    <t>1 thr9ugh 5</t>
  </si>
  <si>
    <t>6through 15</t>
  </si>
  <si>
    <t>taken 7:50</t>
  </si>
  <si>
    <t xml:space="preserve">1-4 and 11-15 </t>
  </si>
  <si>
    <t>5 to 10</t>
  </si>
  <si>
    <t>counts taken at 1:45</t>
  </si>
  <si>
    <t>counts taken at 7:40 am next day</t>
  </si>
  <si>
    <t>samples taken at 10:15 on 8/4/21</t>
  </si>
  <si>
    <t>samples taken at 7:45 on 8/5/21</t>
  </si>
  <si>
    <t xml:space="preserve">t iso </t>
  </si>
  <si>
    <t>mono</t>
  </si>
  <si>
    <t>Chgra</t>
  </si>
  <si>
    <t>Chagra</t>
  </si>
  <si>
    <t>samples taken at 4:00</t>
  </si>
  <si>
    <t>11 to 15</t>
  </si>
  <si>
    <t>samples taken at 10:50</t>
  </si>
  <si>
    <t>samples aken at 8:00 AM</t>
  </si>
  <si>
    <t>samples taken at 12:00</t>
  </si>
  <si>
    <t>SAMPLES TAKEN AT 9:30</t>
  </si>
  <si>
    <t>samples taken at 11:45</t>
  </si>
  <si>
    <t>1-5 and 8 at 1:15</t>
  </si>
  <si>
    <t>cell taken at 8:15</t>
  </si>
  <si>
    <t>taken at 10:30</t>
  </si>
  <si>
    <t>samples taken at 1:30</t>
  </si>
  <si>
    <t>1 to 5</t>
  </si>
  <si>
    <t>6 to 10</t>
  </si>
  <si>
    <t>Tiso Equivilant</t>
  </si>
  <si>
    <t>PLY</t>
  </si>
  <si>
    <t>Total T iso fed</t>
  </si>
  <si>
    <t>% PLY</t>
  </si>
  <si>
    <t>% Chaet</t>
  </si>
  <si>
    <t xml:space="preserve">ply </t>
  </si>
  <si>
    <t>chgra</t>
  </si>
  <si>
    <t>PLY 429 cells</t>
  </si>
  <si>
    <t>Chagra cells</t>
  </si>
  <si>
    <t>TISO equivalents</t>
  </si>
  <si>
    <t>% ply</t>
  </si>
  <si>
    <t>% chagra</t>
  </si>
  <si>
    <t>total cells</t>
  </si>
  <si>
    <t>samples taken at 3:50</t>
  </si>
  <si>
    <t>cells taken at 7:50</t>
  </si>
  <si>
    <t>% removed</t>
  </si>
  <si>
    <t>inside downweller</t>
  </si>
  <si>
    <t>outside downweller</t>
  </si>
  <si>
    <t>taken 1:20pm</t>
  </si>
  <si>
    <t>E01 1 IN 8.24.21</t>
  </si>
  <si>
    <t>E02 2 IN 8.24.21</t>
  </si>
  <si>
    <t>E03 3 IN 8.24.21</t>
  </si>
  <si>
    <t>E04 4 IN 8.24.21</t>
  </si>
  <si>
    <t>E05 5 IN 8.24.21</t>
  </si>
  <si>
    <t>E06 6 IN 8.24.21</t>
  </si>
  <si>
    <t>E07 7 IN 8.24.21</t>
  </si>
  <si>
    <t>E08 8 IN 8.24.21</t>
  </si>
  <si>
    <t>E09 9 IN 8.24.21</t>
  </si>
  <si>
    <t>E10 10 IN 8.24.21</t>
  </si>
  <si>
    <t>F01 1 OUT 8.24.21</t>
  </si>
  <si>
    <t>F02 2  OUT 8.24.21</t>
  </si>
  <si>
    <t>F03 3 OUT 8.24.21</t>
  </si>
  <si>
    <t>F04 4 OUT 8.24.21</t>
  </si>
  <si>
    <t>F05 5 OUT 8.24.21</t>
  </si>
  <si>
    <t>F06 6 OUT 8.24.21</t>
  </si>
  <si>
    <t>F07 7 OUT 8.24.21</t>
  </si>
  <si>
    <t>F08 8 OUT 8.24.21</t>
  </si>
  <si>
    <t>F09 9 OUT 8.24.21</t>
  </si>
  <si>
    <t>F10 10 OUT 8.24.21</t>
  </si>
  <si>
    <t>sample retaken at 2:30pm</t>
  </si>
  <si>
    <t>taken 8:45am</t>
  </si>
  <si>
    <t xml:space="preserve">A01 8.27.21 - 1 in </t>
  </si>
  <si>
    <t xml:space="preserve">A02 8.27.21 - 2  in </t>
  </si>
  <si>
    <t>A03 8.27.21 - 3 in</t>
  </si>
  <si>
    <t>A04 8.27.21 - 4 in</t>
  </si>
  <si>
    <t>A05 8.27.21 - 5 in</t>
  </si>
  <si>
    <t>A06 8.27.21 - 6 in</t>
  </si>
  <si>
    <t>A07 8.27.21 - 7 in</t>
  </si>
  <si>
    <t>A08 8.27.21 - 8 in</t>
  </si>
  <si>
    <t>A09 8.27.21 - 9 in</t>
  </si>
  <si>
    <t>A10 8.27.21 - 10 in</t>
  </si>
  <si>
    <t>B01 8.27.21 - 1 out</t>
  </si>
  <si>
    <t>B02 8.27.21 - 2 out</t>
  </si>
  <si>
    <t>B03 8.27.21 - 3out</t>
  </si>
  <si>
    <t>B04 8.27.21 - 4 out</t>
  </si>
  <si>
    <t>B05 8.27.21 - 5 out</t>
  </si>
  <si>
    <t xml:space="preserve">B06 8.27.21 - 6 out </t>
  </si>
  <si>
    <t xml:space="preserve">B07 8.27.21 - 7 out </t>
  </si>
  <si>
    <t xml:space="preserve">B08 8.27.21 - 8 out </t>
  </si>
  <si>
    <t xml:space="preserve">B09 8.27.21 - 9 out </t>
  </si>
  <si>
    <t xml:space="preserve">B10 8.27.21 - 10 out </t>
  </si>
  <si>
    <t>pH</t>
  </si>
  <si>
    <t>this data not that accurate flow rates were off and could not wait long enough for the system to restabilize</t>
  </si>
  <si>
    <t>5 numbers off from tuniciate</t>
  </si>
  <si>
    <t>feed bucket</t>
  </si>
  <si>
    <t>7A</t>
  </si>
  <si>
    <t>7B</t>
  </si>
  <si>
    <t>7.5D</t>
  </si>
  <si>
    <t>7.5A</t>
  </si>
  <si>
    <t>7.5C</t>
  </si>
  <si>
    <t>7.5B</t>
  </si>
  <si>
    <t>8.0C</t>
  </si>
  <si>
    <t>8.0D</t>
  </si>
  <si>
    <t>8.0A</t>
  </si>
  <si>
    <t>8.0B</t>
  </si>
  <si>
    <t>7.0A</t>
  </si>
  <si>
    <t>and decrease dilution of the algae to target &gt;50% from the unfed group</t>
  </si>
  <si>
    <t xml:space="preserve">note: Yesterday afternoon (9/21/2021), it was decided to bump the algae feed from 2.0 to 2.5 in the peristaltic pump </t>
  </si>
  <si>
    <t>VCF</t>
  </si>
  <si>
    <t>NOTE: No big difference in algal concentration so not going to go back to 2.0</t>
  </si>
  <si>
    <t>could the air stone in the 'out' waterbath be dragging the sinking algae through the downweller during static conditions?</t>
  </si>
  <si>
    <t xml:space="preserve">Notes (Sam): cookout day today -no sw flow in downweller tanks during sampling </t>
  </si>
  <si>
    <t>in' values are consistantly less than 'out'???  an outlier case during a cookout?</t>
  </si>
  <si>
    <t>OTHER SAMPLES</t>
  </si>
  <si>
    <t>DRUM FILT</t>
  </si>
  <si>
    <t>THROUGH</t>
  </si>
  <si>
    <t>NOT THROUGH</t>
  </si>
  <si>
    <t>PERCENT FILTERED</t>
  </si>
  <si>
    <t>ALGAL FEED FOR FEEDING RATES</t>
  </si>
  <si>
    <t>broodstock heath stack</t>
  </si>
  <si>
    <t>ice house scallops</t>
  </si>
  <si>
    <t xml:space="preserve">NOTE: used the template "" - the template 'columns.cit' </t>
  </si>
  <si>
    <t>outlier samples, the algae bucket was low (~1.5 gallons) with aggregated cells filling the lines</t>
  </si>
  <si>
    <t xml:space="preserve"> - perhaps these samples contained these aglae clumps on the surface of 'in' downweller samples</t>
  </si>
  <si>
    <t xml:space="preserve">feed lines cleaned today after samples were taken </t>
  </si>
  <si>
    <t>drum filter IN</t>
  </si>
  <si>
    <t xml:space="preserve">drum filter OUT </t>
  </si>
  <si>
    <t>8.0 B extra IN</t>
  </si>
  <si>
    <t xml:space="preserve">7.5 C extra IN </t>
  </si>
  <si>
    <t>Left, are sampes taken for the drum filter an the inflow downstairs to check cell counts</t>
  </si>
  <si>
    <t>other samples…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</si>
  <si>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 xml:space="preserve">changed the drum filter today to 60um AFTER these were taken (above). </t>
    </r>
  </si>
  <si>
    <t>HEADER TANK SIDE 1</t>
  </si>
  <si>
    <t>CLEANING LINE</t>
  </si>
  <si>
    <t>DRUM FILTER OUT</t>
  </si>
  <si>
    <t>DRUM FILTER IN</t>
  </si>
  <si>
    <t>HATCH 1</t>
  </si>
  <si>
    <t xml:space="preserve">HEADER TANKK 2 </t>
  </si>
  <si>
    <t>FED DOWNWELLER SPICKET</t>
  </si>
  <si>
    <t>UNFED DWONWELLER SPCIKET</t>
  </si>
  <si>
    <t>WATER WITHOUT SPRAYERFED</t>
  </si>
  <si>
    <t>WATER WITHOUT SPRAYER UNFED</t>
  </si>
  <si>
    <t>Head Tank Side 1 (front)</t>
  </si>
  <si>
    <t>Head Tank Side 2 (back)</t>
  </si>
  <si>
    <t xml:space="preserve">NOTE: algae bucket was almost empty… </t>
  </si>
  <si>
    <t>CELLS ML IN DOWNWELLER FOR FED</t>
  </si>
  <si>
    <t>CELLS ML IN BUCKET FOR FED</t>
  </si>
  <si>
    <t xml:space="preserve">the feed regime was changed to 2 ml / min over the weekend (from 4 ml / min) </t>
  </si>
  <si>
    <t>back up to 4ml / min this morning after these samples were taken</t>
  </si>
  <si>
    <t>NOTE:  samples were taken Monday morning -</t>
  </si>
  <si>
    <t xml:space="preserve">to prevent the algae bucket from running dry. Expect that the counts here will be </t>
  </si>
  <si>
    <t xml:space="preserve">at a lower concentration relative to tomorrow (10/19), as the algae was boosted </t>
  </si>
  <si>
    <t xml:space="preserve">7.5 A - BUCKET DID NOT HAVE FLOW THIS MORNING! </t>
  </si>
  <si>
    <t>note:as mentioned yesterday 10/18, today the tanks received</t>
  </si>
  <si>
    <t xml:space="preserve">24 hours at 4.0 ml/min - double the algae feed as yesterday </t>
  </si>
  <si>
    <t>we should expected higher algae in the fed tanks (top rows)</t>
  </si>
  <si>
    <t xml:space="preserve">note: 8D unfed was without flow upon arrival this morning </t>
  </si>
  <si>
    <t xml:space="preserve">note: columns for 8 unfed have more natural seston than the 7.5 unfed </t>
  </si>
  <si>
    <t>make note of this and chat with the group</t>
  </si>
  <si>
    <t>Plot 2 (FL3-H)</t>
  </si>
  <si>
    <t>M1</t>
  </si>
  <si>
    <t>M2</t>
  </si>
  <si>
    <t xml:space="preserve">A01 7.5 IN FED </t>
  </si>
  <si>
    <t>A02 7.5 OUT FED 20210928</t>
  </si>
  <si>
    <t>A04 7.0 IN</t>
  </si>
  <si>
    <t xml:space="preserve">A05 7.0  OUT FED </t>
  </si>
  <si>
    <t>A07 8.0AN F</t>
  </si>
  <si>
    <t>A08 8.0 A NF OUT</t>
  </si>
  <si>
    <t>A12 ALGAE BUCKET</t>
  </si>
  <si>
    <t xml:space="preserve">B01 7.5 B IN FED  </t>
  </si>
  <si>
    <t>B02 7.5 A OUT FED 20210928</t>
  </si>
  <si>
    <t xml:space="preserve">B07 8.0B IN UNFED </t>
  </si>
  <si>
    <t xml:space="preserve">B08 8.0 A OUT UNFED </t>
  </si>
  <si>
    <t>B12 HEADER TANK</t>
  </si>
  <si>
    <t xml:space="preserve">C01 7.5 C IN FED </t>
  </si>
  <si>
    <t xml:space="preserve">C02 7.5 C OUT FED </t>
  </si>
  <si>
    <t>C07 8.0C UF</t>
  </si>
  <si>
    <t>C08 8.0C OUT UF</t>
  </si>
  <si>
    <t>D01 7.5 D IN FED 20210928</t>
  </si>
  <si>
    <t>D02 7.5 D OUT FED 20210928</t>
  </si>
  <si>
    <t>D07 8.0D</t>
  </si>
  <si>
    <t>D08 8.0D</t>
  </si>
  <si>
    <t>E01 8.0 A IN FED 20210928</t>
  </si>
  <si>
    <t>E02 8.0A OUT FED 20210928</t>
  </si>
  <si>
    <t>E07 7.5A</t>
  </si>
  <si>
    <t xml:space="preserve">E08 75A </t>
  </si>
  <si>
    <t>F01 8.0 B IN FED 20210928</t>
  </si>
  <si>
    <t>F02 8.0B OUT FED 20210928</t>
  </si>
  <si>
    <t>F07 7.5B</t>
  </si>
  <si>
    <t xml:space="preserve">F08 7.5B </t>
  </si>
  <si>
    <t>G01 8.0 C IN FED 20210928</t>
  </si>
  <si>
    <t>G02 8.0 C OUT FED 20210928</t>
  </si>
  <si>
    <t>G07 7.5C</t>
  </si>
  <si>
    <t>G08 7.5C</t>
  </si>
  <si>
    <t>H01 8.0 D IN FED 20210928</t>
  </si>
  <si>
    <t>H02 8.0 D OUT FED 20210928</t>
  </si>
  <si>
    <t>H07 7.5D</t>
  </si>
  <si>
    <t>I</t>
  </si>
  <si>
    <t>O</t>
  </si>
  <si>
    <t>A</t>
  </si>
  <si>
    <t>B</t>
  </si>
  <si>
    <t>C</t>
  </si>
  <si>
    <t>D</t>
  </si>
  <si>
    <t>F</t>
  </si>
  <si>
    <t>U</t>
  </si>
  <si>
    <t>HIGH cl COUNT</t>
  </si>
  <si>
    <t>LOW CL COUNT</t>
  </si>
  <si>
    <t>TOTAL COUNT</t>
  </si>
  <si>
    <t>Bucket</t>
  </si>
  <si>
    <t>high cell removed</t>
  </si>
  <si>
    <t>low removed</t>
  </si>
  <si>
    <t>total % removed</t>
  </si>
  <si>
    <t xml:space="preserve">AIRLIFT DATA </t>
  </si>
  <si>
    <t>IN</t>
  </si>
  <si>
    <t>OUT</t>
  </si>
  <si>
    <t>NOZZLE</t>
  </si>
  <si>
    <t>Ice palace 19</t>
  </si>
  <si>
    <t>note: this is where our extras are (general F1s and the fed v.unfed challenge)</t>
  </si>
  <si>
    <t>HIGH Cell  ml</t>
  </si>
  <si>
    <t>MEAN</t>
  </si>
  <si>
    <t>SD</t>
  </si>
  <si>
    <t>OTHER…</t>
  </si>
  <si>
    <t xml:space="preserve">note: did not change the 'Downwellers.cit' gate but </t>
  </si>
  <si>
    <t>today appears to have a shift in the high chl peak, reason why we have such low counts ?</t>
  </si>
  <si>
    <t>LOW FOOD</t>
  </si>
  <si>
    <t>BROODSTOCK</t>
  </si>
  <si>
    <t>TRAYS</t>
  </si>
  <si>
    <t>INFLOW</t>
  </si>
  <si>
    <t>ICE</t>
  </si>
  <si>
    <t>HOUSE</t>
  </si>
  <si>
    <t>SCALLOPS</t>
  </si>
  <si>
    <t>ALGAE</t>
  </si>
  <si>
    <t>BUCKET</t>
  </si>
  <si>
    <t xml:space="preserve">NOTE: in previous weeks we see many cases in qhich the 'out' is greater than the 'in' value. Today we are testing whether this is due to </t>
  </si>
  <si>
    <r>
      <t xml:space="preserve">the daily measurements occuring </t>
    </r>
    <r>
      <rPr>
        <i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sampling for flow cytometry with the idea that sediment/silk/algae/seston is kicked up by the sensor</t>
    </r>
  </si>
  <si>
    <t xml:space="preserve">and the culprit for this trend in our data (whereas the expect the opposite to be occuring - algae in at downweller, sclalops feed, out is less than in) </t>
  </si>
  <si>
    <t xml:space="preserve">so… today Shannon took measurments in the morning and Sam took measurements in the afternoon (here) </t>
  </si>
  <si>
    <t>OUTLIER</t>
  </si>
  <si>
    <t>total removed</t>
  </si>
  <si>
    <t>note: flow was off for a few minutes due to the temperature change, flow initiated about 10 minutes before I took samples (~1015am - Sam)</t>
  </si>
  <si>
    <t>flow was off for only 10-15 minutes</t>
  </si>
  <si>
    <r>
      <t xml:space="preserve">note 2: YSI measurements </t>
    </r>
    <r>
      <rPr>
        <b/>
        <sz val="11"/>
        <color theme="1"/>
        <rFont val="Calibri"/>
        <family val="2"/>
        <scheme val="minor"/>
      </rPr>
      <t>were not taken prior to sampling</t>
    </r>
    <r>
      <rPr>
        <sz val="11"/>
        <color theme="1"/>
        <rFont val="Calibri"/>
        <family val="2"/>
        <scheme val="minor"/>
      </rPr>
      <t xml:space="preserve"> to avoid kicking up silt/feces in the 'out' samples</t>
    </r>
  </si>
  <si>
    <t>*algae bucket was low during sampling..</t>
  </si>
  <si>
    <t>Ice palace (scallops)</t>
  </si>
  <si>
    <r>
      <t>NOTE:</t>
    </r>
    <r>
      <rPr>
        <b/>
        <sz val="11"/>
        <color theme="1"/>
        <rFont val="Calibri"/>
        <family val="2"/>
        <scheme val="minor"/>
      </rPr>
      <t xml:space="preserve"> algae was bumped up to 6 ml per minute starting on Monday (12/6)? </t>
    </r>
    <r>
      <rPr>
        <sz val="11"/>
        <color theme="1"/>
        <rFont val="Calibri"/>
        <family val="2"/>
        <scheme val="minor"/>
      </rPr>
      <t>Was 4 ml per min</t>
    </r>
  </si>
  <si>
    <t xml:space="preserve">drum filter in </t>
  </si>
  <si>
    <t xml:space="preserve">drum filter out </t>
  </si>
  <si>
    <t>PBR harvest</t>
  </si>
  <si>
    <t>Algae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</si>
</sst>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center" indent="1"/>
    </xf>
    <xf numFmtId="20" fontId="0" fillId="0" borderId="0" xfId="0" applyNumberFormat="1"/>
    <xf numFmtId="16" fontId="0" fillId="0" borderId="0" xfId="0" applyNumberFormat="1"/>
    <xf numFmtId="18" fontId="0" fillId="0" borderId="0" xfId="0" applyNumberFormat="1"/>
    <xf numFmtId="2" fontId="0" fillId="0" borderId="0" xfId="0" applyNumberFormat="1"/>
    <xf numFmtId="14" fontId="0" fillId="0" borderId="0" xfId="0" quotePrefix="1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 applyFill="1"/>
    <xf numFmtId="14" fontId="0" fillId="0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8" sqref="H28:H29"/>
    </sheetView>
  </sheetViews>
  <sheetFormatPr defaultRowHeight="15" x14ac:dyDescent="0.25"/>
  <cols>
    <col min="1" max="1" width="9.7109375" bestFit="1" customWidth="1"/>
    <col min="3" max="3" width="10" bestFit="1" customWidth="1"/>
    <col min="32" max="32" width="15.28515625" customWidth="1"/>
  </cols>
  <sheetData>
    <row r="1" spans="1:14" x14ac:dyDescent="0.25">
      <c r="C1" t="s">
        <v>4</v>
      </c>
      <c r="H1" s="4"/>
      <c r="I1" t="s">
        <v>4</v>
      </c>
      <c r="M1" s="2"/>
    </row>
    <row r="2" spans="1:14" x14ac:dyDescent="0.25">
      <c r="A2" t="s">
        <v>8</v>
      </c>
      <c r="C2" t="s">
        <v>5</v>
      </c>
      <c r="G2" s="2">
        <v>44385</v>
      </c>
      <c r="H2" s="5">
        <v>0.34375</v>
      </c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44404</v>
      </c>
      <c r="B4">
        <v>1</v>
      </c>
      <c r="C4" s="1">
        <v>771</v>
      </c>
      <c r="D4">
        <v>33</v>
      </c>
      <c r="E4">
        <f>+C4/33*1000</f>
        <v>23363.636363636364</v>
      </c>
      <c r="G4" s="2">
        <v>44404</v>
      </c>
      <c r="H4">
        <v>1</v>
      </c>
      <c r="I4">
        <v>364</v>
      </c>
      <c r="J4">
        <v>33</v>
      </c>
      <c r="K4">
        <f t="shared" ref="K4:K18" si="0">+I4/J4*1000</f>
        <v>11030.303030303032</v>
      </c>
      <c r="L4">
        <f>+E4-K4</f>
        <v>12333.333333333332</v>
      </c>
      <c r="M4">
        <f>+L4/23.15</f>
        <v>532.75737940964723</v>
      </c>
      <c r="N4">
        <f>AVERAGE(M4:M8)</f>
        <v>452.90922180770997</v>
      </c>
    </row>
    <row r="5" spans="1:14" x14ac:dyDescent="0.25">
      <c r="A5" s="2">
        <v>44404</v>
      </c>
      <c r="B5">
        <v>2</v>
      </c>
      <c r="C5">
        <v>733</v>
      </c>
      <c r="D5">
        <v>33</v>
      </c>
      <c r="E5">
        <f t="shared" ref="E5:E18" si="1">+C5/33*1000</f>
        <v>22212.121212121212</v>
      </c>
      <c r="G5" s="2">
        <v>44404</v>
      </c>
      <c r="H5">
        <v>2</v>
      </c>
      <c r="I5">
        <v>446</v>
      </c>
      <c r="J5">
        <v>33</v>
      </c>
      <c r="K5">
        <f t="shared" si="0"/>
        <v>13515.151515151516</v>
      </c>
      <c r="L5">
        <f>+E5-K5</f>
        <v>8696.9696969696961</v>
      </c>
      <c r="M5">
        <f t="shared" ref="M5:M18" si="2">+L5/23.15</f>
        <v>375.67903658616399</v>
      </c>
    </row>
    <row r="6" spans="1:14" x14ac:dyDescent="0.25">
      <c r="A6" s="2">
        <v>44404</v>
      </c>
      <c r="B6">
        <v>3</v>
      </c>
      <c r="C6">
        <v>786</v>
      </c>
      <c r="D6">
        <v>33</v>
      </c>
      <c r="E6">
        <f t="shared" si="1"/>
        <v>23818.181818181816</v>
      </c>
      <c r="G6" s="2">
        <v>44404</v>
      </c>
      <c r="H6">
        <v>3</v>
      </c>
      <c r="I6">
        <v>465</v>
      </c>
      <c r="J6">
        <v>33</v>
      </c>
      <c r="K6">
        <f t="shared" si="0"/>
        <v>14090.909090909092</v>
      </c>
      <c r="L6">
        <f t="shared" ref="L6:L18" si="3">+E6-K6</f>
        <v>9727.2727272727243</v>
      </c>
      <c r="M6">
        <f t="shared" si="2"/>
        <v>420.1845670528175</v>
      </c>
    </row>
    <row r="7" spans="1:14" x14ac:dyDescent="0.25">
      <c r="A7" s="2">
        <v>44404</v>
      </c>
      <c r="B7">
        <v>4</v>
      </c>
      <c r="C7">
        <v>784</v>
      </c>
      <c r="D7">
        <v>33</v>
      </c>
      <c r="E7">
        <f t="shared" si="1"/>
        <v>23757.575757575756</v>
      </c>
      <c r="G7" s="2">
        <v>44404</v>
      </c>
      <c r="H7">
        <v>4</v>
      </c>
      <c r="I7">
        <v>408</v>
      </c>
      <c r="J7">
        <v>33</v>
      </c>
      <c r="K7">
        <f t="shared" si="0"/>
        <v>12363.636363636364</v>
      </c>
      <c r="L7">
        <f t="shared" si="3"/>
        <v>11393.939393939392</v>
      </c>
      <c r="M7">
        <f t="shared" si="2"/>
        <v>492.17880751358069</v>
      </c>
    </row>
    <row r="8" spans="1:14" x14ac:dyDescent="0.25">
      <c r="A8" s="2">
        <v>44404</v>
      </c>
      <c r="B8">
        <v>5</v>
      </c>
      <c r="C8">
        <v>699</v>
      </c>
      <c r="D8">
        <v>33</v>
      </c>
      <c r="E8">
        <f t="shared" si="1"/>
        <v>21181.818181818184</v>
      </c>
      <c r="G8" s="2">
        <v>44404</v>
      </c>
      <c r="H8">
        <v>5</v>
      </c>
      <c r="I8">
        <v>360</v>
      </c>
      <c r="J8">
        <v>33</v>
      </c>
      <c r="K8">
        <f t="shared" si="0"/>
        <v>10909.090909090908</v>
      </c>
      <c r="L8">
        <f t="shared" si="3"/>
        <v>10272.727272727276</v>
      </c>
      <c r="M8">
        <f t="shared" si="2"/>
        <v>443.74631847634021</v>
      </c>
    </row>
    <row r="9" spans="1:14" x14ac:dyDescent="0.25">
      <c r="A9" s="2">
        <v>44404</v>
      </c>
      <c r="B9">
        <v>6</v>
      </c>
      <c r="C9">
        <v>767</v>
      </c>
      <c r="D9">
        <v>33</v>
      </c>
      <c r="E9">
        <f t="shared" si="1"/>
        <v>23242.424242424244</v>
      </c>
      <c r="G9" s="2">
        <v>44404</v>
      </c>
      <c r="H9">
        <v>6</v>
      </c>
      <c r="I9">
        <v>392</v>
      </c>
      <c r="J9">
        <v>33</v>
      </c>
      <c r="K9">
        <f t="shared" si="0"/>
        <v>11878.787878787878</v>
      </c>
      <c r="L9">
        <f t="shared" si="3"/>
        <v>11363.636363636366</v>
      </c>
      <c r="M9">
        <f t="shared" si="2"/>
        <v>490.86982132338517</v>
      </c>
      <c r="N9">
        <f>AVERAGE(M9:M13)</f>
        <v>514.16977550886838</v>
      </c>
    </row>
    <row r="10" spans="1:14" x14ac:dyDescent="0.25">
      <c r="A10" s="2">
        <v>44404</v>
      </c>
      <c r="B10">
        <v>7</v>
      </c>
      <c r="C10">
        <v>775</v>
      </c>
      <c r="D10">
        <v>33</v>
      </c>
      <c r="E10">
        <f t="shared" si="1"/>
        <v>23484.848484848484</v>
      </c>
      <c r="G10" s="2">
        <v>44404</v>
      </c>
      <c r="H10">
        <v>7</v>
      </c>
      <c r="I10">
        <v>441</v>
      </c>
      <c r="J10">
        <v>33</v>
      </c>
      <c r="K10">
        <f t="shared" si="0"/>
        <v>13363.636363636364</v>
      </c>
      <c r="L10">
        <f t="shared" si="3"/>
        <v>10121.21212121212</v>
      </c>
      <c r="M10">
        <f t="shared" si="2"/>
        <v>437.20138752536161</v>
      </c>
    </row>
    <row r="11" spans="1:14" x14ac:dyDescent="0.25">
      <c r="A11" s="2">
        <v>44404</v>
      </c>
      <c r="B11">
        <v>8</v>
      </c>
      <c r="C11">
        <v>731</v>
      </c>
      <c r="D11">
        <v>33</v>
      </c>
      <c r="E11">
        <f t="shared" si="1"/>
        <v>22151.515151515152</v>
      </c>
      <c r="G11" s="2">
        <v>44404</v>
      </c>
      <c r="H11">
        <v>8</v>
      </c>
      <c r="I11">
        <v>375</v>
      </c>
      <c r="J11">
        <v>33</v>
      </c>
      <c r="K11">
        <f t="shared" si="0"/>
        <v>11363.636363636364</v>
      </c>
      <c r="L11">
        <f t="shared" si="3"/>
        <v>10787.878787878788</v>
      </c>
      <c r="M11">
        <f t="shared" si="2"/>
        <v>465.99908370966688</v>
      </c>
    </row>
    <row r="12" spans="1:14" x14ac:dyDescent="0.25">
      <c r="A12" s="2">
        <v>44404</v>
      </c>
      <c r="B12">
        <v>9</v>
      </c>
      <c r="C12">
        <v>825</v>
      </c>
      <c r="D12">
        <v>33</v>
      </c>
      <c r="E12">
        <f t="shared" si="1"/>
        <v>25000</v>
      </c>
      <c r="G12" s="2">
        <v>44404</v>
      </c>
      <c r="H12">
        <v>9</v>
      </c>
      <c r="I12">
        <v>369</v>
      </c>
      <c r="J12">
        <v>33</v>
      </c>
      <c r="K12">
        <f t="shared" si="0"/>
        <v>11181.818181818182</v>
      </c>
      <c r="L12">
        <f t="shared" si="3"/>
        <v>13818.181818181818</v>
      </c>
      <c r="M12">
        <f t="shared" si="2"/>
        <v>596.89770272923624</v>
      </c>
    </row>
    <row r="13" spans="1:14" x14ac:dyDescent="0.25">
      <c r="A13" s="2">
        <v>44404</v>
      </c>
      <c r="B13">
        <v>10</v>
      </c>
      <c r="C13">
        <v>798</v>
      </c>
      <c r="D13">
        <v>33</v>
      </c>
      <c r="E13">
        <f t="shared" si="1"/>
        <v>24181.818181818184</v>
      </c>
      <c r="G13" s="2">
        <v>44404</v>
      </c>
      <c r="H13">
        <v>10</v>
      </c>
      <c r="I13">
        <v>355</v>
      </c>
      <c r="J13">
        <v>33</v>
      </c>
      <c r="K13">
        <f t="shared" si="0"/>
        <v>10757.575757575758</v>
      </c>
      <c r="L13">
        <f t="shared" si="3"/>
        <v>13424.242424242426</v>
      </c>
      <c r="M13">
        <f t="shared" si="2"/>
        <v>579.8808822566923</v>
      </c>
    </row>
    <row r="14" spans="1:14" x14ac:dyDescent="0.25">
      <c r="A14" s="2">
        <v>44404</v>
      </c>
      <c r="B14">
        <v>11</v>
      </c>
      <c r="C14">
        <v>760</v>
      </c>
      <c r="D14">
        <v>33</v>
      </c>
      <c r="E14">
        <f t="shared" si="1"/>
        <v>23030.303030303032</v>
      </c>
      <c r="G14" s="2">
        <v>44404</v>
      </c>
      <c r="H14">
        <v>11</v>
      </c>
      <c r="I14">
        <v>402</v>
      </c>
      <c r="J14">
        <v>33</v>
      </c>
      <c r="K14">
        <f t="shared" si="0"/>
        <v>12181.818181818182</v>
      </c>
      <c r="L14">
        <f t="shared" si="3"/>
        <v>10848.48484848485</v>
      </c>
      <c r="M14">
        <f t="shared" si="2"/>
        <v>468.61705609005833</v>
      </c>
      <c r="N14">
        <f>AVERAGE(M14:M18)</f>
        <v>436.41599581124422</v>
      </c>
    </row>
    <row r="15" spans="1:14" x14ac:dyDescent="0.25">
      <c r="A15" s="2">
        <v>44404</v>
      </c>
      <c r="B15">
        <v>12</v>
      </c>
      <c r="C15">
        <v>703</v>
      </c>
      <c r="D15">
        <v>33</v>
      </c>
      <c r="E15">
        <f t="shared" si="1"/>
        <v>21303.030303030304</v>
      </c>
      <c r="G15" s="2">
        <v>44404</v>
      </c>
      <c r="H15">
        <v>12</v>
      </c>
      <c r="I15">
        <v>413</v>
      </c>
      <c r="J15">
        <v>33</v>
      </c>
      <c r="K15">
        <f t="shared" si="0"/>
        <v>12515.151515151516</v>
      </c>
      <c r="L15">
        <f t="shared" si="3"/>
        <v>8787.878787878788</v>
      </c>
      <c r="M15">
        <f t="shared" si="2"/>
        <v>379.60599515675113</v>
      </c>
    </row>
    <row r="16" spans="1:14" x14ac:dyDescent="0.25">
      <c r="A16" s="2">
        <v>44404</v>
      </c>
      <c r="B16">
        <v>13</v>
      </c>
      <c r="C16">
        <v>806</v>
      </c>
      <c r="D16">
        <v>33</v>
      </c>
      <c r="E16">
        <f t="shared" si="1"/>
        <v>24424.242424242424</v>
      </c>
      <c r="G16" s="2">
        <v>44404</v>
      </c>
      <c r="H16">
        <v>13</v>
      </c>
      <c r="I16">
        <v>419</v>
      </c>
      <c r="J16">
        <v>33</v>
      </c>
      <c r="K16">
        <f t="shared" si="0"/>
        <v>12696.969696969698</v>
      </c>
      <c r="L16">
        <f t="shared" si="3"/>
        <v>11727.272727272726</v>
      </c>
      <c r="M16">
        <f t="shared" si="2"/>
        <v>506.57765560573336</v>
      </c>
    </row>
    <row r="17" spans="1:13" x14ac:dyDescent="0.25">
      <c r="A17" s="2">
        <v>44404</v>
      </c>
      <c r="B17">
        <v>14</v>
      </c>
      <c r="C17">
        <v>747</v>
      </c>
      <c r="D17">
        <v>33</v>
      </c>
      <c r="E17">
        <f t="shared" si="1"/>
        <v>22636.363636363636</v>
      </c>
      <c r="G17" s="2">
        <v>44404</v>
      </c>
      <c r="H17">
        <v>14</v>
      </c>
      <c r="I17">
        <v>468</v>
      </c>
      <c r="J17">
        <v>33</v>
      </c>
      <c r="K17">
        <f t="shared" si="0"/>
        <v>14181.818181818182</v>
      </c>
      <c r="L17">
        <f t="shared" si="3"/>
        <v>8454.545454545454</v>
      </c>
      <c r="M17">
        <f t="shared" si="2"/>
        <v>365.20714706459847</v>
      </c>
    </row>
    <row r="18" spans="1:13" x14ac:dyDescent="0.25">
      <c r="A18" s="2">
        <v>44404</v>
      </c>
      <c r="B18">
        <v>15</v>
      </c>
      <c r="C18">
        <v>750</v>
      </c>
      <c r="D18">
        <v>33</v>
      </c>
      <c r="E18">
        <f t="shared" si="1"/>
        <v>22727.272727272728</v>
      </c>
      <c r="G18" s="2">
        <v>44404</v>
      </c>
      <c r="H18">
        <v>15</v>
      </c>
      <c r="I18">
        <v>397</v>
      </c>
      <c r="J18">
        <v>33</v>
      </c>
      <c r="K18">
        <f t="shared" si="0"/>
        <v>12030.303030303032</v>
      </c>
      <c r="L18">
        <f t="shared" si="3"/>
        <v>10696.969696969696</v>
      </c>
      <c r="M18">
        <f t="shared" si="2"/>
        <v>462.07212513907979</v>
      </c>
    </row>
    <row r="27" spans="1:13" x14ac:dyDescent="0.25">
      <c r="C27" s="3"/>
    </row>
    <row r="28" spans="1:13" x14ac:dyDescent="0.25">
      <c r="H28" t="s">
        <v>16</v>
      </c>
    </row>
  </sheetData>
  <sortState ref="W1:AD36">
    <sortCondition ref="W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C31" sqref="C31"/>
    </sheetView>
  </sheetViews>
  <sheetFormatPr defaultRowHeight="15" x14ac:dyDescent="0.25"/>
  <cols>
    <col min="1" max="1" width="9.7109375" bestFit="1" customWidth="1"/>
    <col min="3" max="3" width="10" bestFit="1" customWidth="1"/>
    <col min="7" max="7" width="10" bestFit="1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/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44414</v>
      </c>
      <c r="B4">
        <v>1</v>
      </c>
      <c r="C4" s="1">
        <v>2013</v>
      </c>
      <c r="D4">
        <v>33</v>
      </c>
      <c r="E4">
        <f>+C4/33*1000</f>
        <v>61000</v>
      </c>
      <c r="G4" s="2">
        <v>44415</v>
      </c>
      <c r="H4">
        <v>1</v>
      </c>
      <c r="I4">
        <v>1187</v>
      </c>
      <c r="J4">
        <v>33</v>
      </c>
      <c r="K4">
        <f t="shared" ref="K4:K18" si="0">+I4/J4*1000</f>
        <v>35969.696969696968</v>
      </c>
      <c r="L4">
        <f>+E4-K4</f>
        <v>25030.303030303032</v>
      </c>
      <c r="M4">
        <f>+L4/21.17</f>
        <v>1182.3478049269263</v>
      </c>
      <c r="N4">
        <f>AVERAGE(M4:M8)</f>
        <v>1411.0877313522565</v>
      </c>
    </row>
    <row r="5" spans="1:14" x14ac:dyDescent="0.25">
      <c r="A5" s="2">
        <v>44414</v>
      </c>
      <c r="B5">
        <v>2</v>
      </c>
      <c r="C5">
        <v>1959</v>
      </c>
      <c r="D5">
        <v>33</v>
      </c>
      <c r="E5">
        <f t="shared" ref="E5:E18" si="1">+C5/33*1000</f>
        <v>59363.636363636368</v>
      </c>
      <c r="G5" s="2">
        <v>44415</v>
      </c>
      <c r="H5">
        <v>2</v>
      </c>
      <c r="I5">
        <v>973</v>
      </c>
      <c r="J5">
        <v>33</v>
      </c>
      <c r="K5">
        <f t="shared" si="0"/>
        <v>29484.848484848484</v>
      </c>
      <c r="L5">
        <f>+E5-K5</f>
        <v>29878.787878787884</v>
      </c>
      <c r="M5">
        <f t="shared" ref="M5:M18" si="2">+L5/21.17</f>
        <v>1411.3740141137403</v>
      </c>
    </row>
    <row r="6" spans="1:14" x14ac:dyDescent="0.25">
      <c r="A6" s="2">
        <v>44414</v>
      </c>
      <c r="B6">
        <v>3</v>
      </c>
      <c r="C6">
        <v>2192</v>
      </c>
      <c r="D6">
        <v>33</v>
      </c>
      <c r="E6">
        <f t="shared" si="1"/>
        <v>66424.242424242417</v>
      </c>
      <c r="G6" s="2">
        <v>44415</v>
      </c>
      <c r="H6">
        <v>3</v>
      </c>
      <c r="I6">
        <v>1160</v>
      </c>
      <c r="J6">
        <v>33</v>
      </c>
      <c r="K6">
        <f t="shared" si="0"/>
        <v>35151.515151515152</v>
      </c>
      <c r="L6">
        <f t="shared" ref="L6:L18" si="3">+E6-K6</f>
        <v>31272.727272727265</v>
      </c>
      <c r="M6">
        <f t="shared" si="2"/>
        <v>1477.2190492549487</v>
      </c>
    </row>
    <row r="7" spans="1:14" x14ac:dyDescent="0.25">
      <c r="A7" s="2">
        <v>44414</v>
      </c>
      <c r="B7">
        <v>4</v>
      </c>
      <c r="C7">
        <v>2022</v>
      </c>
      <c r="D7">
        <v>33</v>
      </c>
      <c r="E7">
        <f t="shared" si="1"/>
        <v>61272.727272727272</v>
      </c>
      <c r="G7" s="2">
        <v>44415</v>
      </c>
      <c r="H7">
        <v>4</v>
      </c>
      <c r="I7">
        <v>980</v>
      </c>
      <c r="J7">
        <v>33</v>
      </c>
      <c r="K7">
        <f t="shared" si="0"/>
        <v>29696.969696969696</v>
      </c>
      <c r="L7">
        <f t="shared" si="3"/>
        <v>31575.757575757576</v>
      </c>
      <c r="M7">
        <f t="shared" si="2"/>
        <v>1491.5331873291248</v>
      </c>
    </row>
    <row r="8" spans="1:14" x14ac:dyDescent="0.25">
      <c r="A8" s="2">
        <v>44414</v>
      </c>
      <c r="B8">
        <v>5</v>
      </c>
      <c r="C8">
        <v>2023</v>
      </c>
      <c r="D8">
        <v>33</v>
      </c>
      <c r="E8">
        <f t="shared" si="1"/>
        <v>61303.030303030304</v>
      </c>
      <c r="G8" s="2">
        <v>44415</v>
      </c>
      <c r="H8">
        <v>5</v>
      </c>
      <c r="I8">
        <v>980</v>
      </c>
      <c r="J8">
        <v>33</v>
      </c>
      <c r="K8">
        <f t="shared" si="0"/>
        <v>29696.969696969696</v>
      </c>
      <c r="L8">
        <f t="shared" si="3"/>
        <v>31606.060606060608</v>
      </c>
      <c r="M8">
        <f t="shared" si="2"/>
        <v>1492.9646011365426</v>
      </c>
    </row>
    <row r="9" spans="1:14" x14ac:dyDescent="0.25">
      <c r="A9" s="2">
        <v>44414</v>
      </c>
      <c r="B9">
        <v>6</v>
      </c>
      <c r="C9">
        <v>2004</v>
      </c>
      <c r="D9">
        <v>33</v>
      </c>
      <c r="E9">
        <f t="shared" si="1"/>
        <v>60727.272727272728</v>
      </c>
      <c r="G9" s="2">
        <v>44415</v>
      </c>
      <c r="H9">
        <v>6</v>
      </c>
      <c r="I9">
        <v>992</v>
      </c>
      <c r="J9">
        <v>33</v>
      </c>
      <c r="K9">
        <f t="shared" si="0"/>
        <v>30060.606060606064</v>
      </c>
      <c r="L9">
        <f t="shared" si="3"/>
        <v>30666.666666666664</v>
      </c>
      <c r="M9">
        <f t="shared" si="2"/>
        <v>1448.5907731065972</v>
      </c>
      <c r="N9">
        <f>AVERAGE(M9:M13)</f>
        <v>1460.3283663274215</v>
      </c>
    </row>
    <row r="10" spans="1:14" x14ac:dyDescent="0.25">
      <c r="A10" s="2">
        <v>44414</v>
      </c>
      <c r="B10">
        <v>7</v>
      </c>
      <c r="C10">
        <v>2033</v>
      </c>
      <c r="D10">
        <v>33</v>
      </c>
      <c r="E10">
        <f t="shared" si="1"/>
        <v>61606.060606060608</v>
      </c>
      <c r="G10" s="2">
        <v>44415</v>
      </c>
      <c r="H10">
        <v>7</v>
      </c>
      <c r="I10">
        <v>1146</v>
      </c>
      <c r="J10">
        <v>33</v>
      </c>
      <c r="K10">
        <f t="shared" si="0"/>
        <v>34727.272727272728</v>
      </c>
      <c r="L10">
        <f t="shared" si="3"/>
        <v>26878.78787878788</v>
      </c>
      <c r="M10">
        <f t="shared" si="2"/>
        <v>1269.6640471793989</v>
      </c>
    </row>
    <row r="11" spans="1:14" x14ac:dyDescent="0.25">
      <c r="A11" s="2">
        <v>44414</v>
      </c>
      <c r="B11">
        <v>8</v>
      </c>
      <c r="C11">
        <v>2007</v>
      </c>
      <c r="D11">
        <v>33</v>
      </c>
      <c r="E11">
        <f t="shared" si="1"/>
        <v>60818.181818181823</v>
      </c>
      <c r="G11" s="2">
        <v>44415</v>
      </c>
      <c r="H11">
        <v>8</v>
      </c>
      <c r="I11">
        <v>906</v>
      </c>
      <c r="J11">
        <v>33</v>
      </c>
      <c r="K11">
        <f t="shared" si="0"/>
        <v>27454.545454545452</v>
      </c>
      <c r="L11">
        <f t="shared" si="3"/>
        <v>33363.636363636368</v>
      </c>
      <c r="M11">
        <f t="shared" si="2"/>
        <v>1575.9866019667627</v>
      </c>
    </row>
    <row r="12" spans="1:14" x14ac:dyDescent="0.25">
      <c r="A12" s="2">
        <v>44414</v>
      </c>
      <c r="B12">
        <v>9</v>
      </c>
      <c r="C12">
        <v>2071</v>
      </c>
      <c r="D12">
        <v>33</v>
      </c>
      <c r="E12">
        <f t="shared" si="1"/>
        <v>62757.57575757576</v>
      </c>
      <c r="G12" s="2">
        <v>44415</v>
      </c>
      <c r="H12">
        <v>9</v>
      </c>
      <c r="I12">
        <v>998</v>
      </c>
      <c r="J12">
        <v>33</v>
      </c>
      <c r="K12">
        <f t="shared" si="0"/>
        <v>30242.424242424244</v>
      </c>
      <c r="L12">
        <f t="shared" si="3"/>
        <v>32515.151515151516</v>
      </c>
      <c r="M12">
        <f t="shared" si="2"/>
        <v>1535.9070153590701</v>
      </c>
    </row>
    <row r="13" spans="1:14" x14ac:dyDescent="0.25">
      <c r="A13" s="2">
        <v>44414</v>
      </c>
      <c r="B13">
        <v>10</v>
      </c>
      <c r="C13">
        <v>2058</v>
      </c>
      <c r="D13">
        <v>33</v>
      </c>
      <c r="E13">
        <f t="shared" si="1"/>
        <v>62363.636363636368</v>
      </c>
      <c r="G13" s="2">
        <v>44415</v>
      </c>
      <c r="H13">
        <v>10</v>
      </c>
      <c r="I13">
        <v>1030</v>
      </c>
      <c r="J13">
        <v>33</v>
      </c>
      <c r="K13">
        <f t="shared" si="0"/>
        <v>31212.121212121212</v>
      </c>
      <c r="L13">
        <f t="shared" si="3"/>
        <v>31151.515151515156</v>
      </c>
      <c r="M13">
        <f t="shared" si="2"/>
        <v>1471.4933940252788</v>
      </c>
    </row>
    <row r="14" spans="1:14" x14ac:dyDescent="0.25">
      <c r="A14" s="2">
        <v>44414</v>
      </c>
      <c r="B14">
        <v>11</v>
      </c>
      <c r="C14">
        <v>1495</v>
      </c>
      <c r="D14">
        <v>33</v>
      </c>
      <c r="E14">
        <f t="shared" si="1"/>
        <v>45303.030303030304</v>
      </c>
      <c r="G14" s="2">
        <v>44415</v>
      </c>
      <c r="H14">
        <v>11</v>
      </c>
      <c r="I14">
        <v>1148</v>
      </c>
      <c r="J14">
        <v>33</v>
      </c>
      <c r="K14">
        <f>+I14/J14*1000</f>
        <v>34787.878787878792</v>
      </c>
      <c r="L14">
        <f t="shared" si="3"/>
        <v>10515.151515151512</v>
      </c>
      <c r="M14">
        <f t="shared" si="2"/>
        <v>496.7005911739023</v>
      </c>
      <c r="N14">
        <f>AVERAGE(M14:M18)</f>
        <v>657.87778588912261</v>
      </c>
    </row>
    <row r="15" spans="1:14" x14ac:dyDescent="0.25">
      <c r="A15" s="2">
        <v>44414</v>
      </c>
      <c r="B15">
        <v>12</v>
      </c>
      <c r="C15">
        <v>1424</v>
      </c>
      <c r="D15">
        <v>33</v>
      </c>
      <c r="E15">
        <f t="shared" si="1"/>
        <v>43151.515151515152</v>
      </c>
      <c r="G15" s="2">
        <v>44415</v>
      </c>
      <c r="H15">
        <v>12</v>
      </c>
      <c r="I15">
        <v>1016</v>
      </c>
      <c r="J15">
        <v>33</v>
      </c>
      <c r="K15">
        <f t="shared" si="0"/>
        <v>30787.878787878788</v>
      </c>
      <c r="L15">
        <f t="shared" si="3"/>
        <v>12363.636363636364</v>
      </c>
      <c r="M15">
        <f t="shared" si="2"/>
        <v>584.01683342637523</v>
      </c>
    </row>
    <row r="16" spans="1:14" x14ac:dyDescent="0.25">
      <c r="A16" s="2">
        <v>44414</v>
      </c>
      <c r="B16">
        <v>13</v>
      </c>
      <c r="C16">
        <v>1531</v>
      </c>
      <c r="D16">
        <v>33</v>
      </c>
      <c r="E16">
        <f t="shared" si="1"/>
        <v>46393.939393939392</v>
      </c>
      <c r="G16" s="2">
        <v>44415</v>
      </c>
      <c r="H16">
        <v>13</v>
      </c>
      <c r="I16">
        <v>1060</v>
      </c>
      <c r="J16">
        <v>33</v>
      </c>
      <c r="K16">
        <f t="shared" si="0"/>
        <v>32121.212121212124</v>
      </c>
      <c r="L16">
        <f t="shared" si="3"/>
        <v>14272.727272727268</v>
      </c>
      <c r="M16">
        <f t="shared" si="2"/>
        <v>674.19590329368293</v>
      </c>
    </row>
    <row r="17" spans="1:13" x14ac:dyDescent="0.25">
      <c r="A17" s="2">
        <v>44414</v>
      </c>
      <c r="B17">
        <v>14</v>
      </c>
      <c r="C17">
        <v>1674</v>
      </c>
      <c r="D17">
        <v>33</v>
      </c>
      <c r="E17">
        <f t="shared" si="1"/>
        <v>50727.272727272728</v>
      </c>
      <c r="G17" s="2">
        <v>44415</v>
      </c>
      <c r="H17">
        <v>14</v>
      </c>
      <c r="I17">
        <v>1147</v>
      </c>
      <c r="J17">
        <v>33</v>
      </c>
      <c r="K17">
        <f t="shared" si="0"/>
        <v>34757.57575757576</v>
      </c>
      <c r="L17">
        <f t="shared" si="3"/>
        <v>15969.696969696968</v>
      </c>
      <c r="M17">
        <f>+L17/21.17</f>
        <v>754.35507650906789</v>
      </c>
    </row>
    <row r="18" spans="1:13" x14ac:dyDescent="0.25">
      <c r="A18" s="2">
        <v>44414</v>
      </c>
      <c r="B18">
        <v>15</v>
      </c>
      <c r="C18">
        <v>1629</v>
      </c>
      <c r="D18">
        <v>33</v>
      </c>
      <c r="E18">
        <f t="shared" si="1"/>
        <v>49363.636363636368</v>
      </c>
      <c r="G18" s="2">
        <v>44415</v>
      </c>
      <c r="H18">
        <v>15</v>
      </c>
      <c r="I18">
        <v>1084</v>
      </c>
      <c r="J18">
        <v>33</v>
      </c>
      <c r="K18">
        <f t="shared" si="0"/>
        <v>32848.484848484848</v>
      </c>
      <c r="L18">
        <f t="shared" si="3"/>
        <v>16515.15151515152</v>
      </c>
      <c r="M18">
        <f t="shared" si="2"/>
        <v>780.12052504258475</v>
      </c>
    </row>
    <row r="20" spans="1:13" x14ac:dyDescent="0.25">
      <c r="A20" t="s">
        <v>34</v>
      </c>
      <c r="B20" s="7"/>
    </row>
    <row r="21" spans="1:13" x14ac:dyDescent="0.25">
      <c r="A21" s="6" t="s">
        <v>35</v>
      </c>
      <c r="B21" s="7"/>
      <c r="E21">
        <f>10/60</f>
        <v>0.16666666666666666</v>
      </c>
    </row>
    <row r="25" spans="1:13" x14ac:dyDescent="0.25">
      <c r="H25" s="6" t="s">
        <v>33</v>
      </c>
    </row>
    <row r="26" spans="1:13" x14ac:dyDescent="0.25">
      <c r="A26" t="s">
        <v>28</v>
      </c>
      <c r="B26">
        <v>19618</v>
      </c>
      <c r="C26">
        <v>33</v>
      </c>
      <c r="D26">
        <f>+B26/C26*2100/100*1000</f>
        <v>12484181.818181818</v>
      </c>
      <c r="F26">
        <f>+D26*30/10500</f>
        <v>35669.090909090912</v>
      </c>
      <c r="H26">
        <f>+F26+F27</f>
        <v>48203.172121212127</v>
      </c>
    </row>
    <row r="27" spans="1:13" x14ac:dyDescent="0.25">
      <c r="A27" t="s">
        <v>29</v>
      </c>
      <c r="B27">
        <v>22214</v>
      </c>
      <c r="C27">
        <v>33</v>
      </c>
      <c r="D27">
        <f>+B27/C27*2100/100*1000</f>
        <v>14136181.818181818</v>
      </c>
      <c r="F27">
        <f>+D27*9.31/10500</f>
        <v>12534.081212121213</v>
      </c>
    </row>
    <row r="28" spans="1:13" x14ac:dyDescent="0.25">
      <c r="A28" t="s">
        <v>31</v>
      </c>
      <c r="B28">
        <v>7793</v>
      </c>
      <c r="C28">
        <v>33</v>
      </c>
      <c r="D28">
        <f>+B28/C28*2100/100*1000</f>
        <v>4959181.8181818184</v>
      </c>
    </row>
    <row r="29" spans="1:13" x14ac:dyDescent="0.25">
      <c r="A29" t="s">
        <v>7</v>
      </c>
      <c r="B29">
        <v>3675</v>
      </c>
      <c r="C29">
        <v>33</v>
      </c>
      <c r="D29">
        <f>+B29/C29*2100/100*1000</f>
        <v>2338636.3636363633</v>
      </c>
    </row>
    <row r="32" spans="1:13" x14ac:dyDescent="0.25">
      <c r="J32">
        <f>(28)/33*1000</f>
        <v>848.4848484848485</v>
      </c>
    </row>
    <row r="33" spans="1:7" x14ac:dyDescent="0.25">
      <c r="A33">
        <v>10.08</v>
      </c>
      <c r="B33">
        <f>+D26*10.08/10500</f>
        <v>11984.814545454547</v>
      </c>
      <c r="C33">
        <f>+A33*40000/36947</f>
        <v>10.912929331204158</v>
      </c>
      <c r="E33">
        <v>8.94</v>
      </c>
      <c r="G33">
        <f>E33*2/51.24</f>
        <v>0.34894613583138168</v>
      </c>
    </row>
    <row r="34" spans="1:7" x14ac:dyDescent="0.25">
      <c r="A34">
        <v>8.94</v>
      </c>
      <c r="B34">
        <f>+D27*8.94/10500</f>
        <v>12035.949090909091</v>
      </c>
      <c r="C34">
        <f t="shared" ref="C34:C36" si="4">+A34*40000/36947</f>
        <v>9.6787289901751166</v>
      </c>
      <c r="E34">
        <f>11.52*2</f>
        <v>23.04</v>
      </c>
      <c r="G34">
        <f>E34*2/51.24</f>
        <v>0.89929742388758771</v>
      </c>
    </row>
    <row r="35" spans="1:7" x14ac:dyDescent="0.25">
      <c r="A35">
        <v>23.04</v>
      </c>
      <c r="B35">
        <f>+D28*(23.04)/10500</f>
        <v>10881.861818181818</v>
      </c>
      <c r="C35">
        <f t="shared" si="4"/>
        <v>24.943838471323787</v>
      </c>
      <c r="E35">
        <v>10.08</v>
      </c>
      <c r="G35">
        <f>E35*2/51.24</f>
        <v>0.39344262295081966</v>
      </c>
    </row>
    <row r="36" spans="1:7" x14ac:dyDescent="0.25">
      <c r="A36">
        <v>4.59</v>
      </c>
      <c r="B36">
        <f>+D29*(4.59*2)/10500</f>
        <v>2044.6363636363631</v>
      </c>
      <c r="C36">
        <f t="shared" si="4"/>
        <v>4.9692803204590357</v>
      </c>
      <c r="E36">
        <f>4.59*2</f>
        <v>9.18</v>
      </c>
      <c r="G36">
        <f>E36*2/51.24</f>
        <v>0.35831381733021073</v>
      </c>
    </row>
    <row r="37" spans="1:7" x14ac:dyDescent="0.25">
      <c r="E37">
        <f>SUM(E33:E36)</f>
        <v>51.239999999999995</v>
      </c>
    </row>
    <row r="38" spans="1:7" x14ac:dyDescent="0.25">
      <c r="B38">
        <f>SUM(B33:B36)</f>
        <v>36947.261818181818</v>
      </c>
      <c r="C38">
        <v>60000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L24" sqref="L24"/>
    </sheetView>
  </sheetViews>
  <sheetFormatPr defaultRowHeight="15" x14ac:dyDescent="0.25"/>
  <cols>
    <col min="1" max="1" width="9.7109375" bestFit="1" customWidth="1"/>
    <col min="3" max="3" width="10" bestFit="1" customWidth="1"/>
    <col min="7" max="7" width="10" bestFit="1" customWidth="1"/>
    <col min="12" max="12" width="13.5703125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/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44415</v>
      </c>
      <c r="B4">
        <v>1</v>
      </c>
      <c r="C4" s="1">
        <v>1916</v>
      </c>
      <c r="D4">
        <v>33</v>
      </c>
      <c r="E4">
        <f>+C4/D4*1000</f>
        <v>58060.606060606064</v>
      </c>
      <c r="G4" s="2">
        <v>44416</v>
      </c>
      <c r="H4">
        <v>1</v>
      </c>
      <c r="I4">
        <v>1049</v>
      </c>
      <c r="J4">
        <v>33</v>
      </c>
      <c r="K4">
        <f>+I4/J4*1000</f>
        <v>31787.878787878788</v>
      </c>
      <c r="L4">
        <f>+E4-K4</f>
        <v>26272.727272727276</v>
      </c>
      <c r="M4">
        <f>+L4/22.5</f>
        <v>1167.6767676767679</v>
      </c>
      <c r="N4">
        <f>AVERAGE(M4:M8)</f>
        <v>1494.6801346801349</v>
      </c>
    </row>
    <row r="5" spans="1:14" x14ac:dyDescent="0.25">
      <c r="A5" s="2">
        <v>44415</v>
      </c>
      <c r="B5">
        <v>2</v>
      </c>
      <c r="C5">
        <v>1891</v>
      </c>
      <c r="D5">
        <v>33</v>
      </c>
      <c r="E5">
        <f t="shared" ref="E5:E18" si="0">+C5/D5*1000</f>
        <v>57303.030303030304</v>
      </c>
      <c r="G5" s="2">
        <v>44416</v>
      </c>
      <c r="H5">
        <v>2</v>
      </c>
      <c r="I5">
        <v>570</v>
      </c>
      <c r="J5">
        <v>33</v>
      </c>
      <c r="K5">
        <f t="shared" ref="K5:K18" si="1">+I5/J5*1000</f>
        <v>17272.727272727272</v>
      </c>
      <c r="L5">
        <f>+E5-K5</f>
        <v>40030.303030303032</v>
      </c>
      <c r="M5">
        <f t="shared" ref="M5:M18" si="2">+L5/22.5</f>
        <v>1779.1245791245792</v>
      </c>
    </row>
    <row r="6" spans="1:14" x14ac:dyDescent="0.25">
      <c r="A6" s="2">
        <v>44415</v>
      </c>
      <c r="B6">
        <v>3</v>
      </c>
      <c r="C6">
        <v>1936</v>
      </c>
      <c r="D6">
        <v>33</v>
      </c>
      <c r="E6">
        <f t="shared" si="0"/>
        <v>58666.666666666664</v>
      </c>
      <c r="G6" s="2">
        <v>44416</v>
      </c>
      <c r="H6">
        <v>3</v>
      </c>
      <c r="I6">
        <v>849</v>
      </c>
      <c r="J6">
        <v>33</v>
      </c>
      <c r="K6">
        <f t="shared" si="1"/>
        <v>25727.272727272728</v>
      </c>
      <c r="L6">
        <f t="shared" ref="L6:L18" si="3">+E6-K6</f>
        <v>32939.393939393936</v>
      </c>
      <c r="M6">
        <f t="shared" si="2"/>
        <v>1463.9730639730637</v>
      </c>
    </row>
    <row r="7" spans="1:14" x14ac:dyDescent="0.25">
      <c r="A7" s="2">
        <v>44415</v>
      </c>
      <c r="B7">
        <v>4</v>
      </c>
      <c r="C7">
        <v>1958</v>
      </c>
      <c r="D7">
        <v>33</v>
      </c>
      <c r="E7">
        <f t="shared" si="0"/>
        <v>59333.333333333336</v>
      </c>
      <c r="G7" s="2">
        <v>44416</v>
      </c>
      <c r="H7">
        <v>4</v>
      </c>
      <c r="I7">
        <v>751</v>
      </c>
      <c r="J7">
        <v>33</v>
      </c>
      <c r="K7">
        <f t="shared" si="1"/>
        <v>22757.575757575756</v>
      </c>
      <c r="L7">
        <f t="shared" si="3"/>
        <v>36575.757575757583</v>
      </c>
      <c r="M7">
        <f t="shared" si="2"/>
        <v>1625.5892255892259</v>
      </c>
    </row>
    <row r="8" spans="1:14" x14ac:dyDescent="0.25">
      <c r="A8" s="2">
        <v>44415</v>
      </c>
      <c r="B8">
        <v>5</v>
      </c>
      <c r="C8">
        <v>1918</v>
      </c>
      <c r="D8">
        <v>33</v>
      </c>
      <c r="E8">
        <f t="shared" si="0"/>
        <v>58121.212121212127</v>
      </c>
      <c r="G8" s="2">
        <v>44416</v>
      </c>
      <c r="H8">
        <v>5</v>
      </c>
      <c r="I8">
        <v>851</v>
      </c>
      <c r="J8">
        <v>33</v>
      </c>
      <c r="K8">
        <f t="shared" si="1"/>
        <v>25787.878787878788</v>
      </c>
      <c r="L8">
        <f t="shared" si="3"/>
        <v>32333.333333333339</v>
      </c>
      <c r="M8">
        <f t="shared" si="2"/>
        <v>1437.0370370370374</v>
      </c>
    </row>
    <row r="9" spans="1:14" x14ac:dyDescent="0.25">
      <c r="A9" s="2">
        <v>44415</v>
      </c>
      <c r="B9">
        <v>6</v>
      </c>
      <c r="C9">
        <v>2018</v>
      </c>
      <c r="D9">
        <v>33</v>
      </c>
      <c r="E9">
        <f t="shared" si="0"/>
        <v>61151.515151515152</v>
      </c>
      <c r="G9" s="2">
        <v>44416</v>
      </c>
      <c r="H9">
        <v>6</v>
      </c>
      <c r="I9">
        <v>1104</v>
      </c>
      <c r="J9">
        <v>33</v>
      </c>
      <c r="K9">
        <f t="shared" si="1"/>
        <v>33454.545454545456</v>
      </c>
      <c r="L9">
        <f t="shared" si="3"/>
        <v>27696.969696969696</v>
      </c>
      <c r="M9">
        <f t="shared" si="2"/>
        <v>1230.9764309764309</v>
      </c>
      <c r="N9">
        <f>AVERAGE(M9:M13)</f>
        <v>1108.4175084175083</v>
      </c>
    </row>
    <row r="10" spans="1:14" x14ac:dyDescent="0.25">
      <c r="A10" s="2">
        <v>44415</v>
      </c>
      <c r="B10">
        <v>7</v>
      </c>
      <c r="C10">
        <v>1867</v>
      </c>
      <c r="D10">
        <v>33</v>
      </c>
      <c r="E10">
        <f t="shared" si="0"/>
        <v>56575.757575757576</v>
      </c>
      <c r="G10" s="2">
        <v>44416</v>
      </c>
      <c r="H10">
        <v>7</v>
      </c>
      <c r="I10">
        <v>967</v>
      </c>
      <c r="J10">
        <v>33</v>
      </c>
      <c r="K10">
        <f t="shared" si="1"/>
        <v>29303.030303030304</v>
      </c>
      <c r="L10">
        <f t="shared" si="3"/>
        <v>27272.727272727272</v>
      </c>
      <c r="M10">
        <f t="shared" si="2"/>
        <v>1212.121212121212</v>
      </c>
    </row>
    <row r="11" spans="1:14" x14ac:dyDescent="0.25">
      <c r="A11" s="2">
        <v>44415</v>
      </c>
      <c r="B11">
        <v>8</v>
      </c>
      <c r="C11">
        <v>1787</v>
      </c>
      <c r="D11">
        <v>33</v>
      </c>
      <c r="E11">
        <f t="shared" si="0"/>
        <v>54151.515151515152</v>
      </c>
      <c r="G11" s="2">
        <v>44416</v>
      </c>
      <c r="H11">
        <v>8</v>
      </c>
      <c r="I11">
        <v>825</v>
      </c>
      <c r="J11">
        <v>33</v>
      </c>
      <c r="K11">
        <f t="shared" si="1"/>
        <v>25000</v>
      </c>
      <c r="L11">
        <f t="shared" si="3"/>
        <v>29151.515151515152</v>
      </c>
      <c r="M11">
        <f t="shared" si="2"/>
        <v>1295.6228956228956</v>
      </c>
    </row>
    <row r="12" spans="1:14" x14ac:dyDescent="0.25">
      <c r="A12" s="2">
        <v>44415</v>
      </c>
      <c r="B12">
        <v>9</v>
      </c>
      <c r="C12">
        <v>1831</v>
      </c>
      <c r="D12">
        <v>33</v>
      </c>
      <c r="E12">
        <f t="shared" si="0"/>
        <v>55484.848484848488</v>
      </c>
      <c r="G12" s="2">
        <v>44416</v>
      </c>
      <c r="H12">
        <v>9</v>
      </c>
      <c r="I12">
        <v>976</v>
      </c>
      <c r="J12">
        <v>33</v>
      </c>
      <c r="K12">
        <f t="shared" si="1"/>
        <v>29575.757575757576</v>
      </c>
      <c r="L12">
        <f t="shared" si="3"/>
        <v>25909.090909090912</v>
      </c>
      <c r="M12">
        <f t="shared" si="2"/>
        <v>1151.5151515151517</v>
      </c>
    </row>
    <row r="13" spans="1:14" x14ac:dyDescent="0.25">
      <c r="A13" s="2">
        <v>44415</v>
      </c>
      <c r="B13">
        <v>10</v>
      </c>
      <c r="C13">
        <v>1757</v>
      </c>
      <c r="D13">
        <v>33</v>
      </c>
      <c r="E13">
        <f t="shared" si="0"/>
        <v>53242.42424242424</v>
      </c>
      <c r="G13" s="2">
        <v>44416</v>
      </c>
      <c r="H13">
        <v>10</v>
      </c>
      <c r="I13">
        <v>1273</v>
      </c>
      <c r="J13">
        <v>33</v>
      </c>
      <c r="K13">
        <f t="shared" si="1"/>
        <v>38575.757575757576</v>
      </c>
      <c r="L13">
        <f t="shared" si="3"/>
        <v>14666.666666666664</v>
      </c>
      <c r="M13">
        <f t="shared" si="2"/>
        <v>651.85185185185173</v>
      </c>
    </row>
    <row r="14" spans="1:14" x14ac:dyDescent="0.25">
      <c r="A14" s="2">
        <v>44415</v>
      </c>
      <c r="B14">
        <v>11</v>
      </c>
      <c r="C14">
        <v>1286</v>
      </c>
      <c r="D14">
        <v>33</v>
      </c>
      <c r="E14">
        <f t="shared" si="0"/>
        <v>38969.696969696968</v>
      </c>
      <c r="G14" s="2">
        <v>44416</v>
      </c>
      <c r="H14">
        <v>11</v>
      </c>
      <c r="I14">
        <v>922</v>
      </c>
      <c r="J14">
        <v>33</v>
      </c>
      <c r="K14">
        <f>+I14/J14*1000</f>
        <v>27939.393939393936</v>
      </c>
      <c r="L14">
        <f t="shared" si="3"/>
        <v>11030.303030303032</v>
      </c>
      <c r="M14">
        <f t="shared" si="2"/>
        <v>490.2356902356903</v>
      </c>
      <c r="N14">
        <f>AVERAGE(M14:M18)</f>
        <v>560.80808080808072</v>
      </c>
    </row>
    <row r="15" spans="1:14" x14ac:dyDescent="0.25">
      <c r="A15" s="2">
        <v>44415</v>
      </c>
      <c r="B15">
        <v>12</v>
      </c>
      <c r="C15">
        <v>1293</v>
      </c>
      <c r="D15">
        <v>33</v>
      </c>
      <c r="E15">
        <f t="shared" si="0"/>
        <v>39181.818181818177</v>
      </c>
      <c r="G15" s="2">
        <v>44416</v>
      </c>
      <c r="H15">
        <v>12</v>
      </c>
      <c r="I15">
        <v>860</v>
      </c>
      <c r="J15">
        <v>33</v>
      </c>
      <c r="K15">
        <f t="shared" si="1"/>
        <v>26060.606060606064</v>
      </c>
      <c r="L15">
        <f t="shared" si="3"/>
        <v>13121.212121212113</v>
      </c>
      <c r="M15">
        <f t="shared" si="2"/>
        <v>583.1649831649828</v>
      </c>
    </row>
    <row r="16" spans="1:14" x14ac:dyDescent="0.25">
      <c r="A16" s="2">
        <v>44415</v>
      </c>
      <c r="B16">
        <v>13</v>
      </c>
      <c r="C16">
        <v>1458</v>
      </c>
      <c r="D16">
        <v>33</v>
      </c>
      <c r="E16">
        <f t="shared" si="0"/>
        <v>44181.818181818177</v>
      </c>
      <c r="G16" s="2">
        <v>44416</v>
      </c>
      <c r="H16">
        <v>13</v>
      </c>
      <c r="I16">
        <v>914</v>
      </c>
      <c r="J16">
        <v>33</v>
      </c>
      <c r="K16">
        <f t="shared" si="1"/>
        <v>27696.969696969696</v>
      </c>
      <c r="L16">
        <f t="shared" si="3"/>
        <v>16484.84848484848</v>
      </c>
      <c r="M16">
        <f t="shared" si="2"/>
        <v>732.65993265993245</v>
      </c>
    </row>
    <row r="17" spans="1:13" x14ac:dyDescent="0.25">
      <c r="A17" s="2">
        <v>44415</v>
      </c>
      <c r="B17">
        <v>14</v>
      </c>
      <c r="C17">
        <v>1292</v>
      </c>
      <c r="D17">
        <v>33</v>
      </c>
      <c r="E17">
        <f t="shared" si="0"/>
        <v>39151.515151515152</v>
      </c>
      <c r="G17" s="2">
        <v>44416</v>
      </c>
      <c r="H17">
        <v>14</v>
      </c>
      <c r="I17">
        <v>895</v>
      </c>
      <c r="J17">
        <v>33</v>
      </c>
      <c r="K17">
        <f t="shared" si="1"/>
        <v>27121.21212121212</v>
      </c>
      <c r="L17">
        <f t="shared" si="3"/>
        <v>12030.303030303032</v>
      </c>
      <c r="M17">
        <f t="shared" si="2"/>
        <v>534.68013468013476</v>
      </c>
    </row>
    <row r="18" spans="1:13" x14ac:dyDescent="0.25">
      <c r="A18" s="2">
        <v>44415</v>
      </c>
      <c r="B18">
        <v>15</v>
      </c>
      <c r="C18">
        <v>1261</v>
      </c>
      <c r="D18">
        <v>33</v>
      </c>
      <c r="E18">
        <f t="shared" si="0"/>
        <v>38212.121212121208</v>
      </c>
      <c r="G18" s="2">
        <v>44416</v>
      </c>
      <c r="H18">
        <v>15</v>
      </c>
      <c r="I18">
        <v>917</v>
      </c>
      <c r="J18">
        <v>33</v>
      </c>
      <c r="K18">
        <f t="shared" si="1"/>
        <v>27787.878787878788</v>
      </c>
      <c r="L18">
        <f t="shared" si="3"/>
        <v>10424.24242424242</v>
      </c>
      <c r="M18">
        <f t="shared" si="2"/>
        <v>463.29966329966311</v>
      </c>
    </row>
    <row r="20" spans="1:13" x14ac:dyDescent="0.25">
      <c r="A20" t="s">
        <v>36</v>
      </c>
      <c r="B20" s="7"/>
    </row>
    <row r="21" spans="1:13" x14ac:dyDescent="0.25">
      <c r="A21" s="6" t="s">
        <v>37</v>
      </c>
      <c r="B21" s="7"/>
      <c r="K21">
        <f>+K5-30000</f>
        <v>-12727.272727272728</v>
      </c>
    </row>
    <row r="22" spans="1:13" x14ac:dyDescent="0.25">
      <c r="K22">
        <f>60000-K5</f>
        <v>42727.272727272728</v>
      </c>
    </row>
    <row r="23" spans="1:13" x14ac:dyDescent="0.25">
      <c r="K23">
        <f>+K21-K22</f>
        <v>-55454.545454545456</v>
      </c>
    </row>
    <row r="25" spans="1:13" x14ac:dyDescent="0.25">
      <c r="H25" s="6" t="s">
        <v>33</v>
      </c>
    </row>
    <row r="26" spans="1:13" x14ac:dyDescent="0.25">
      <c r="A26" t="s">
        <v>28</v>
      </c>
      <c r="B26">
        <v>19618</v>
      </c>
      <c r="C26">
        <v>33</v>
      </c>
      <c r="D26">
        <f>+B26/C26*2100/100*1000</f>
        <v>12484181.818181818</v>
      </c>
      <c r="F26">
        <f>+D26*30/10500</f>
        <v>35669.090909090912</v>
      </c>
      <c r="H26">
        <f>+F26+F27</f>
        <v>48203.172121212127</v>
      </c>
    </row>
    <row r="27" spans="1:13" x14ac:dyDescent="0.25">
      <c r="A27" t="s">
        <v>29</v>
      </c>
      <c r="B27">
        <v>22214</v>
      </c>
      <c r="C27">
        <v>33</v>
      </c>
      <c r="D27">
        <f>+B27/C27*2100/100*1000</f>
        <v>14136181.818181818</v>
      </c>
      <c r="F27">
        <f>+D27*9.31/10500</f>
        <v>12534.081212121213</v>
      </c>
    </row>
    <row r="28" spans="1:13" x14ac:dyDescent="0.25">
      <c r="A28" t="s">
        <v>31</v>
      </c>
      <c r="B28">
        <v>7793</v>
      </c>
      <c r="C28">
        <v>33</v>
      </c>
      <c r="D28">
        <f>+B28/C28*2100/100*1000</f>
        <v>4959181.8181818184</v>
      </c>
    </row>
    <row r="29" spans="1:13" x14ac:dyDescent="0.25">
      <c r="A29" t="s">
        <v>7</v>
      </c>
      <c r="B29">
        <v>3675</v>
      </c>
      <c r="C29">
        <v>33</v>
      </c>
      <c r="D29">
        <f>+B29/C29*2100/100*1000</f>
        <v>2338636.3636363633</v>
      </c>
    </row>
    <row r="32" spans="1:13" x14ac:dyDescent="0.25">
      <c r="J32">
        <f>(28)/33*1000</f>
        <v>848.4848484848485</v>
      </c>
    </row>
    <row r="33" spans="1:7" x14ac:dyDescent="0.25">
      <c r="A33">
        <v>10.08</v>
      </c>
      <c r="B33">
        <f>+D26*10.08/10500</f>
        <v>11984.814545454547</v>
      </c>
      <c r="C33">
        <f>+A33*20000/36947</f>
        <v>5.4564646656020788</v>
      </c>
      <c r="E33">
        <v>8.94</v>
      </c>
      <c r="G33">
        <f>E33*2/51.24</f>
        <v>0.34894613583138168</v>
      </c>
    </row>
    <row r="34" spans="1:7" x14ac:dyDescent="0.25">
      <c r="A34">
        <v>8.94</v>
      </c>
      <c r="B34">
        <f>+D27*8.94/10500</f>
        <v>12035.949090909091</v>
      </c>
      <c r="C34">
        <f t="shared" ref="C34:C36" si="4">+A34*20000/36947</f>
        <v>4.8393644950875583</v>
      </c>
      <c r="E34">
        <f>11.52*2</f>
        <v>23.04</v>
      </c>
      <c r="G34">
        <f>E34*2/51.24</f>
        <v>0.89929742388758771</v>
      </c>
    </row>
    <row r="35" spans="1:7" x14ac:dyDescent="0.25">
      <c r="A35">
        <v>23.04</v>
      </c>
      <c r="B35">
        <f>+D28*(23.04)/10500</f>
        <v>10881.861818181818</v>
      </c>
      <c r="C35">
        <f t="shared" si="4"/>
        <v>12.471919235661893</v>
      </c>
      <c r="E35">
        <v>10.08</v>
      </c>
      <c r="G35">
        <f>E35*2/51.24</f>
        <v>0.39344262295081966</v>
      </c>
    </row>
    <row r="36" spans="1:7" x14ac:dyDescent="0.25">
      <c r="A36">
        <v>4.59</v>
      </c>
      <c r="B36">
        <f>+D29*(4.59*2)/10500</f>
        <v>2044.6363636363631</v>
      </c>
      <c r="C36">
        <f t="shared" si="4"/>
        <v>2.4846401602295178</v>
      </c>
      <c r="E36">
        <f>4.59*2</f>
        <v>9.18</v>
      </c>
      <c r="G36">
        <f>E36*2/51.24</f>
        <v>0.35831381733021073</v>
      </c>
    </row>
    <row r="37" spans="1:7" x14ac:dyDescent="0.25">
      <c r="E37">
        <f>SUM(E33:E36)</f>
        <v>51.239999999999995</v>
      </c>
    </row>
    <row r="38" spans="1:7" x14ac:dyDescent="0.25">
      <c r="B38">
        <f>SUM(B33:B36)</f>
        <v>36947.261818181818</v>
      </c>
      <c r="C38">
        <v>60000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7" workbookViewId="0">
      <selection activeCell="I17" sqref="I17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12" bestFit="1" customWidth="1"/>
    <col min="7" max="7" width="10" bestFit="1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/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44416</v>
      </c>
      <c r="B4">
        <v>1</v>
      </c>
      <c r="C4" s="1">
        <v>1776</v>
      </c>
      <c r="D4">
        <v>33</v>
      </c>
      <c r="E4">
        <f>+C4/33*1000</f>
        <v>53818.181818181823</v>
      </c>
      <c r="G4" s="2">
        <v>44417</v>
      </c>
      <c r="H4">
        <v>1</v>
      </c>
      <c r="I4">
        <v>697</v>
      </c>
      <c r="J4">
        <v>35</v>
      </c>
      <c r="K4">
        <f t="shared" ref="K4:K18" si="0">+I4/J4*1000</f>
        <v>19914.285714285714</v>
      </c>
      <c r="L4">
        <f>+E4-K4</f>
        <v>33903.896103896113</v>
      </c>
      <c r="M4">
        <f>+L4/19</f>
        <v>1784.4155844155848</v>
      </c>
      <c r="N4">
        <f>AVERAGE(M4:M8)</f>
        <v>1866.6119845067212</v>
      </c>
    </row>
    <row r="5" spans="1:14" x14ac:dyDescent="0.25">
      <c r="A5" s="2">
        <v>44416</v>
      </c>
      <c r="B5">
        <v>2</v>
      </c>
      <c r="C5">
        <v>2202</v>
      </c>
      <c r="D5">
        <v>33</v>
      </c>
      <c r="E5">
        <f t="shared" ref="E5:E18" si="1">+C5/33*1000</f>
        <v>66727.272727272735</v>
      </c>
      <c r="G5" s="2">
        <v>44417</v>
      </c>
      <c r="H5">
        <v>2</v>
      </c>
      <c r="I5">
        <v>905</v>
      </c>
      <c r="J5">
        <v>33</v>
      </c>
      <c r="K5">
        <f t="shared" si="0"/>
        <v>27424.242424242424</v>
      </c>
      <c r="L5">
        <f>+E5-K5</f>
        <v>39303.030303030311</v>
      </c>
      <c r="M5">
        <f t="shared" ref="M5:M8" si="2">+L5/19</f>
        <v>2068.5805422647531</v>
      </c>
    </row>
    <row r="6" spans="1:14" x14ac:dyDescent="0.25">
      <c r="A6" s="2">
        <v>44416</v>
      </c>
      <c r="B6">
        <v>3</v>
      </c>
      <c r="C6">
        <v>1921</v>
      </c>
      <c r="D6">
        <v>33</v>
      </c>
      <c r="E6">
        <f t="shared" si="1"/>
        <v>58212.121212121208</v>
      </c>
      <c r="G6" s="2">
        <v>44417</v>
      </c>
      <c r="H6">
        <v>3</v>
      </c>
      <c r="I6">
        <v>785</v>
      </c>
      <c r="J6">
        <v>33</v>
      </c>
      <c r="K6">
        <f t="shared" si="0"/>
        <v>23787.878787878788</v>
      </c>
      <c r="L6">
        <f t="shared" ref="L6:L18" si="3">+E6-K6</f>
        <v>34424.242424242417</v>
      </c>
      <c r="M6">
        <f t="shared" si="2"/>
        <v>1811.8022328548641</v>
      </c>
    </row>
    <row r="7" spans="1:14" x14ac:dyDescent="0.25">
      <c r="A7" s="2">
        <v>44416</v>
      </c>
      <c r="B7">
        <v>4</v>
      </c>
      <c r="C7">
        <v>1697</v>
      </c>
      <c r="D7">
        <v>33</v>
      </c>
      <c r="E7">
        <f t="shared" si="1"/>
        <v>51424.242424242424</v>
      </c>
      <c r="G7" s="2">
        <v>44417</v>
      </c>
      <c r="H7">
        <v>4</v>
      </c>
      <c r="I7">
        <v>579</v>
      </c>
      <c r="J7">
        <v>33</v>
      </c>
      <c r="K7">
        <f t="shared" si="0"/>
        <v>17545.454545454548</v>
      </c>
      <c r="L7">
        <f t="shared" si="3"/>
        <v>33878.787878787873</v>
      </c>
      <c r="M7">
        <f t="shared" si="2"/>
        <v>1783.0940988835723</v>
      </c>
    </row>
    <row r="8" spans="1:14" x14ac:dyDescent="0.25">
      <c r="A8" s="2">
        <v>44416</v>
      </c>
      <c r="B8">
        <v>5</v>
      </c>
      <c r="C8">
        <v>1834</v>
      </c>
      <c r="D8">
        <v>33</v>
      </c>
      <c r="E8">
        <f t="shared" si="1"/>
        <v>55575.757575757576</v>
      </c>
      <c r="G8" s="2">
        <v>44417</v>
      </c>
      <c r="H8">
        <v>5</v>
      </c>
      <c r="I8">
        <v>652</v>
      </c>
      <c r="J8">
        <v>33</v>
      </c>
      <c r="K8">
        <f t="shared" si="0"/>
        <v>19757.575757575756</v>
      </c>
      <c r="L8">
        <f t="shared" si="3"/>
        <v>35818.181818181823</v>
      </c>
      <c r="M8">
        <f t="shared" si="2"/>
        <v>1885.1674641148329</v>
      </c>
    </row>
    <row r="9" spans="1:14" x14ac:dyDescent="0.25">
      <c r="A9" s="2">
        <v>44416</v>
      </c>
      <c r="B9">
        <v>6</v>
      </c>
      <c r="C9">
        <v>2088</v>
      </c>
      <c r="D9">
        <v>33</v>
      </c>
      <c r="E9">
        <f t="shared" si="1"/>
        <v>63272.727272727272</v>
      </c>
      <c r="G9" s="2">
        <v>44417</v>
      </c>
      <c r="H9">
        <v>6</v>
      </c>
      <c r="I9">
        <v>932</v>
      </c>
      <c r="J9">
        <v>33</v>
      </c>
      <c r="K9">
        <f t="shared" si="0"/>
        <v>28242.424242424244</v>
      </c>
      <c r="L9">
        <f t="shared" si="3"/>
        <v>35030.303030303025</v>
      </c>
      <c r="M9">
        <f>+L9/20.5</f>
        <v>1708.7952697708793</v>
      </c>
      <c r="N9">
        <f>AVERAGE(M9:M13)</f>
        <v>1634.6909402108374</v>
      </c>
    </row>
    <row r="10" spans="1:14" x14ac:dyDescent="0.25">
      <c r="A10" s="2">
        <v>44416</v>
      </c>
      <c r="B10">
        <v>7</v>
      </c>
      <c r="C10">
        <v>1909</v>
      </c>
      <c r="D10">
        <v>33</v>
      </c>
      <c r="E10">
        <f t="shared" si="1"/>
        <v>57848.484848484848</v>
      </c>
      <c r="G10" s="2">
        <v>44417</v>
      </c>
      <c r="H10">
        <v>7</v>
      </c>
      <c r="I10">
        <v>889</v>
      </c>
      <c r="J10">
        <v>33</v>
      </c>
      <c r="K10">
        <f t="shared" si="0"/>
        <v>26939.393939393936</v>
      </c>
      <c r="L10">
        <f t="shared" si="3"/>
        <v>30909.090909090912</v>
      </c>
      <c r="M10">
        <f>+L10/20.5</f>
        <v>1507.7605321507763</v>
      </c>
    </row>
    <row r="11" spans="1:14" x14ac:dyDescent="0.25">
      <c r="A11" s="2">
        <v>44416</v>
      </c>
      <c r="B11">
        <v>8</v>
      </c>
      <c r="C11">
        <v>2008</v>
      </c>
      <c r="D11">
        <v>33</v>
      </c>
      <c r="E11">
        <f t="shared" si="1"/>
        <v>60848.484848484848</v>
      </c>
      <c r="G11" s="2">
        <v>44417</v>
      </c>
      <c r="H11">
        <v>8</v>
      </c>
      <c r="I11">
        <v>813</v>
      </c>
      <c r="J11">
        <v>33</v>
      </c>
      <c r="K11">
        <f t="shared" si="0"/>
        <v>24636.363636363636</v>
      </c>
      <c r="L11">
        <f t="shared" si="3"/>
        <v>36212.121212121216</v>
      </c>
      <c r="M11">
        <f>+L11/19</f>
        <v>1905.9011164274325</v>
      </c>
    </row>
    <row r="12" spans="1:14" x14ac:dyDescent="0.25">
      <c r="A12" s="2">
        <v>44416</v>
      </c>
      <c r="B12">
        <v>9</v>
      </c>
      <c r="C12">
        <v>1913</v>
      </c>
      <c r="D12">
        <v>33</v>
      </c>
      <c r="E12">
        <f t="shared" si="1"/>
        <v>57969.696969696968</v>
      </c>
      <c r="G12" s="2">
        <v>44417</v>
      </c>
      <c r="H12">
        <v>9</v>
      </c>
      <c r="I12">
        <v>874</v>
      </c>
      <c r="J12">
        <v>33</v>
      </c>
      <c r="K12">
        <f>+I12/J12*1000</f>
        <v>26484.848484848484</v>
      </c>
      <c r="L12">
        <f>+E12-K12</f>
        <v>31484.848484848484</v>
      </c>
      <c r="M12">
        <f t="shared" ref="M12:M18" si="4">+L12/20.5</f>
        <v>1535.8462675535845</v>
      </c>
    </row>
    <row r="13" spans="1:14" x14ac:dyDescent="0.25">
      <c r="A13" s="2">
        <v>44416</v>
      </c>
      <c r="B13">
        <v>10</v>
      </c>
      <c r="C13">
        <v>2151</v>
      </c>
      <c r="D13">
        <v>33</v>
      </c>
      <c r="E13">
        <f t="shared" si="1"/>
        <v>65181.818181818184</v>
      </c>
      <c r="G13" s="2">
        <v>44417</v>
      </c>
      <c r="H13">
        <v>10</v>
      </c>
      <c r="I13">
        <v>1126</v>
      </c>
      <c r="J13">
        <v>33</v>
      </c>
      <c r="K13">
        <f t="shared" si="0"/>
        <v>34121.212121212127</v>
      </c>
      <c r="L13">
        <f t="shared" si="3"/>
        <v>31060.606060606056</v>
      </c>
      <c r="M13">
        <f t="shared" si="4"/>
        <v>1515.151515151515</v>
      </c>
    </row>
    <row r="14" spans="1:14" x14ac:dyDescent="0.25">
      <c r="A14" s="2">
        <v>44416</v>
      </c>
      <c r="B14">
        <v>11</v>
      </c>
      <c r="C14">
        <v>1586</v>
      </c>
      <c r="D14">
        <v>33</v>
      </c>
      <c r="E14">
        <f t="shared" si="1"/>
        <v>48060.606060606064</v>
      </c>
      <c r="G14" s="2">
        <v>44417</v>
      </c>
      <c r="H14">
        <v>11</v>
      </c>
      <c r="I14">
        <v>860</v>
      </c>
      <c r="J14">
        <v>33</v>
      </c>
      <c r="K14">
        <f>+I14/J14*1000</f>
        <v>26060.606060606064</v>
      </c>
      <c r="L14">
        <f t="shared" si="3"/>
        <v>22000</v>
      </c>
      <c r="M14">
        <f t="shared" si="4"/>
        <v>1073.1707317073171</v>
      </c>
      <c r="N14">
        <f>AVERAGE(M14:M18)</f>
        <v>1521.3599408721359</v>
      </c>
    </row>
    <row r="15" spans="1:14" x14ac:dyDescent="0.25">
      <c r="A15" s="2">
        <v>44416</v>
      </c>
      <c r="B15">
        <v>12</v>
      </c>
      <c r="C15">
        <v>1494</v>
      </c>
      <c r="D15">
        <v>33</v>
      </c>
      <c r="E15">
        <f t="shared" si="1"/>
        <v>45272.727272727272</v>
      </c>
      <c r="G15" s="2">
        <v>44417</v>
      </c>
      <c r="H15">
        <v>12</v>
      </c>
      <c r="I15">
        <v>763</v>
      </c>
      <c r="J15">
        <v>33</v>
      </c>
      <c r="K15">
        <f t="shared" si="0"/>
        <v>23121.21212121212</v>
      </c>
      <c r="L15">
        <f t="shared" si="3"/>
        <v>22151.515151515152</v>
      </c>
      <c r="M15">
        <f t="shared" si="4"/>
        <v>1080.5617147080561</v>
      </c>
    </row>
    <row r="16" spans="1:14" x14ac:dyDescent="0.25">
      <c r="A16" s="2">
        <v>44416</v>
      </c>
      <c r="B16">
        <v>13</v>
      </c>
      <c r="C16">
        <v>1562</v>
      </c>
      <c r="D16">
        <v>33</v>
      </c>
      <c r="E16">
        <f t="shared" si="1"/>
        <v>47333.333333333336</v>
      </c>
      <c r="G16" s="2">
        <v>44417</v>
      </c>
      <c r="H16">
        <v>13</v>
      </c>
      <c r="I16">
        <v>774</v>
      </c>
      <c r="J16">
        <v>33</v>
      </c>
      <c r="K16">
        <f t="shared" si="0"/>
        <v>23454.545454545452</v>
      </c>
      <c r="L16">
        <f t="shared" si="3"/>
        <v>23878.787878787884</v>
      </c>
      <c r="M16">
        <f t="shared" si="4"/>
        <v>1164.8189209164821</v>
      </c>
    </row>
    <row r="17" spans="1:13" x14ac:dyDescent="0.25">
      <c r="A17" s="2">
        <v>44416</v>
      </c>
      <c r="B17">
        <v>14</v>
      </c>
      <c r="C17">
        <v>1427</v>
      </c>
      <c r="D17">
        <v>33</v>
      </c>
      <c r="E17">
        <f t="shared" si="1"/>
        <v>43242.42424242424</v>
      </c>
      <c r="G17" s="2">
        <v>44417</v>
      </c>
      <c r="H17">
        <v>14</v>
      </c>
      <c r="J17">
        <v>33</v>
      </c>
      <c r="K17">
        <f t="shared" si="0"/>
        <v>0</v>
      </c>
      <c r="L17">
        <f t="shared" si="3"/>
        <v>43242.42424242424</v>
      </c>
      <c r="M17">
        <f t="shared" si="4"/>
        <v>2109.3865484109388</v>
      </c>
    </row>
    <row r="18" spans="1:13" x14ac:dyDescent="0.25">
      <c r="A18" s="2">
        <v>44416</v>
      </c>
      <c r="B18">
        <v>15</v>
      </c>
      <c r="C18">
        <v>1474</v>
      </c>
      <c r="D18">
        <v>33</v>
      </c>
      <c r="E18">
        <f t="shared" si="1"/>
        <v>44666.666666666664</v>
      </c>
      <c r="G18" s="2">
        <v>44417</v>
      </c>
      <c r="H18">
        <v>15</v>
      </c>
      <c r="J18">
        <v>33</v>
      </c>
      <c r="K18">
        <f t="shared" si="0"/>
        <v>0</v>
      </c>
      <c r="L18">
        <f t="shared" si="3"/>
        <v>44666.666666666664</v>
      </c>
      <c r="M18">
        <f t="shared" si="4"/>
        <v>2178.8617886178858</v>
      </c>
    </row>
    <row r="20" spans="1:13" x14ac:dyDescent="0.25">
      <c r="A20" t="s">
        <v>38</v>
      </c>
      <c r="B20" s="7"/>
    </row>
    <row r="21" spans="1:13" x14ac:dyDescent="0.25">
      <c r="A21" s="6" t="s">
        <v>39</v>
      </c>
      <c r="B21" s="7"/>
    </row>
    <row r="22" spans="1:13" x14ac:dyDescent="0.25">
      <c r="A22" t="s">
        <v>40</v>
      </c>
    </row>
    <row r="25" spans="1:13" x14ac:dyDescent="0.25">
      <c r="H25" s="6" t="s">
        <v>33</v>
      </c>
    </row>
    <row r="26" spans="1:13" x14ac:dyDescent="0.25">
      <c r="A26" t="s">
        <v>28</v>
      </c>
      <c r="B26">
        <v>19618</v>
      </c>
      <c r="C26">
        <v>33</v>
      </c>
      <c r="D26">
        <f>+B26/C26*2100/100*1000</f>
        <v>12484181.818181818</v>
      </c>
      <c r="F26">
        <f>+D26*30/10500</f>
        <v>35669.090909090912</v>
      </c>
      <c r="H26">
        <f>+F26+F27</f>
        <v>48203.172121212127</v>
      </c>
    </row>
    <row r="27" spans="1:13" x14ac:dyDescent="0.25">
      <c r="A27" t="s">
        <v>29</v>
      </c>
      <c r="B27">
        <v>22214</v>
      </c>
      <c r="C27">
        <v>33</v>
      </c>
      <c r="D27">
        <f>+B27/C27*2100/100*1000</f>
        <v>14136181.818181818</v>
      </c>
      <c r="F27">
        <f>+D27*9.31/10500</f>
        <v>12534.081212121213</v>
      </c>
    </row>
    <row r="28" spans="1:13" x14ac:dyDescent="0.25">
      <c r="A28" t="s">
        <v>31</v>
      </c>
      <c r="B28">
        <v>7793</v>
      </c>
      <c r="C28">
        <v>33</v>
      </c>
      <c r="D28">
        <f>+B28/C28*2100/100*1000</f>
        <v>4959181.8181818184</v>
      </c>
    </row>
    <row r="29" spans="1:13" x14ac:dyDescent="0.25">
      <c r="A29" t="s">
        <v>7</v>
      </c>
      <c r="B29">
        <v>3675</v>
      </c>
      <c r="C29">
        <v>33</v>
      </c>
      <c r="D29">
        <f>+B29/C29*2100/100*1000</f>
        <v>2338636.3636363633</v>
      </c>
    </row>
    <row r="32" spans="1:13" x14ac:dyDescent="0.25">
      <c r="J32">
        <f>(28)/33*1000</f>
        <v>848.4848484848485</v>
      </c>
    </row>
    <row r="33" spans="1:7" x14ac:dyDescent="0.25">
      <c r="A33">
        <v>10.08</v>
      </c>
      <c r="B33">
        <f>+D26*10.08/10500</f>
        <v>11984.814545454547</v>
      </c>
      <c r="C33">
        <f>+A33*75000/36947</f>
        <v>20.461742496007794</v>
      </c>
      <c r="D33">
        <f>+D26*C33</f>
        <v>255448113.63697875</v>
      </c>
      <c r="E33">
        <v>8.94</v>
      </c>
      <c r="G33">
        <f>E33*2/51.24</f>
        <v>0.34894613583138168</v>
      </c>
    </row>
    <row r="34" spans="1:7" x14ac:dyDescent="0.25">
      <c r="A34">
        <v>8.94</v>
      </c>
      <c r="B34">
        <f>+D27*8.94/10500</f>
        <v>12035.949090909091</v>
      </c>
      <c r="C34">
        <f t="shared" ref="C34:C35" si="5">+A34*75000/36947</f>
        <v>18.147616856578342</v>
      </c>
      <c r="D34">
        <f t="shared" ref="D34:D35" si="6">+D27*C34</f>
        <v>256538011.45129263</v>
      </c>
      <c r="E34">
        <f>11.52*2</f>
        <v>23.04</v>
      </c>
      <c r="G34">
        <f>E34*2/51.24</f>
        <v>0.89929742388758771</v>
      </c>
    </row>
    <row r="35" spans="1:7" x14ac:dyDescent="0.25">
      <c r="A35">
        <v>23.04</v>
      </c>
      <c r="B35">
        <f>+D28*(23.04)/10500</f>
        <v>10881.861818181818</v>
      </c>
      <c r="C35">
        <f t="shared" si="5"/>
        <v>46.769697133732102</v>
      </c>
      <c r="D35">
        <f t="shared" si="6"/>
        <v>231939431.66747454</v>
      </c>
      <c r="E35">
        <v>10.08</v>
      </c>
      <c r="G35">
        <f>E35*2/51.24</f>
        <v>0.39344262295081966</v>
      </c>
    </row>
    <row r="36" spans="1:7" x14ac:dyDescent="0.25">
      <c r="A36">
        <v>4.59</v>
      </c>
      <c r="B36">
        <f>+D29*(4.59*2)/10500</f>
        <v>2044.6363636363631</v>
      </c>
      <c r="C36">
        <f>+A36*75000/36947</f>
        <v>9.317400600860692</v>
      </c>
      <c r="D36">
        <f>+D29*C36</f>
        <v>21790011.859740116</v>
      </c>
      <c r="E36">
        <f>4.59*2</f>
        <v>9.18</v>
      </c>
      <c r="G36">
        <f>E36*2/51.24</f>
        <v>0.35831381733021073</v>
      </c>
    </row>
    <row r="37" spans="1:7" x14ac:dyDescent="0.25">
      <c r="E37">
        <f>SUM(E33:E36)</f>
        <v>51.239999999999995</v>
      </c>
    </row>
    <row r="38" spans="1:7" x14ac:dyDescent="0.25">
      <c r="B38">
        <f>SUM(B33:B36)</f>
        <v>36947.261818181818</v>
      </c>
      <c r="C38">
        <v>60000</v>
      </c>
    </row>
    <row r="39" spans="1:7" x14ac:dyDescent="0.25">
      <c r="G39">
        <f>+D33/D44*100</f>
        <v>21.525097360386432</v>
      </c>
    </row>
    <row r="40" spans="1:7" x14ac:dyDescent="0.25">
      <c r="G40">
        <f>+D34/D44*100</f>
        <v>21.616936584532432</v>
      </c>
    </row>
    <row r="41" spans="1:7" x14ac:dyDescent="0.25">
      <c r="D41">
        <f>+D35*1.5</f>
        <v>347909147.50121182</v>
      </c>
      <c r="G41">
        <f>+D41/D44*100</f>
        <v>29.316240256818055</v>
      </c>
    </row>
    <row r="42" spans="1:7" x14ac:dyDescent="0.25">
      <c r="D42">
        <f>+D36*15</f>
        <v>326850177.89610171</v>
      </c>
      <c r="G42">
        <f>+D42/D44*100</f>
        <v>27.541725798263077</v>
      </c>
    </row>
    <row r="43" spans="1:7" x14ac:dyDescent="0.25">
      <c r="G43">
        <f>SUM(G39:G42)</f>
        <v>99.999999999999986</v>
      </c>
    </row>
    <row r="44" spans="1:7" x14ac:dyDescent="0.25">
      <c r="D44">
        <f>+D33+D34+D41+D42</f>
        <v>1186745450.485585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9" workbookViewId="0">
      <selection activeCell="D29" sqref="D29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12" bestFit="1" customWidth="1"/>
    <col min="7" max="7" width="10" bestFit="1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/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44416</v>
      </c>
      <c r="B4">
        <v>1</v>
      </c>
      <c r="C4" s="1">
        <v>1125</v>
      </c>
      <c r="D4">
        <v>33</v>
      </c>
      <c r="E4">
        <f>+C4/33*1000</f>
        <v>34090.909090909096</v>
      </c>
      <c r="G4" s="2">
        <v>44417</v>
      </c>
      <c r="H4">
        <v>1</v>
      </c>
      <c r="I4">
        <v>1098</v>
      </c>
      <c r="J4">
        <v>35</v>
      </c>
      <c r="K4">
        <f t="shared" ref="K4:K18" si="0">+I4/J4*1000</f>
        <v>31371.428571428569</v>
      </c>
      <c r="L4">
        <f>+E4-K4</f>
        <v>2719.4805194805267</v>
      </c>
      <c r="M4">
        <f>+L4/4</f>
        <v>679.87012987013168</v>
      </c>
      <c r="N4">
        <f>AVERAGE(M4:M8)</f>
        <v>652.64069264069292</v>
      </c>
    </row>
    <row r="5" spans="1:14" x14ac:dyDescent="0.25">
      <c r="A5" s="2">
        <v>44416</v>
      </c>
      <c r="B5">
        <v>2</v>
      </c>
      <c r="C5">
        <v>794</v>
      </c>
      <c r="D5">
        <v>33</v>
      </c>
      <c r="E5">
        <f t="shared" ref="E5:E18" si="1">+C5/33*1000</f>
        <v>24060.606060606064</v>
      </c>
      <c r="G5" s="2">
        <v>44417</v>
      </c>
      <c r="H5">
        <v>2</v>
      </c>
      <c r="I5">
        <v>756</v>
      </c>
      <c r="J5">
        <v>33</v>
      </c>
      <c r="K5">
        <f t="shared" si="0"/>
        <v>22909.090909090912</v>
      </c>
      <c r="L5">
        <f>+E5-K5</f>
        <v>1151.515151515152</v>
      </c>
      <c r="M5">
        <f t="shared" ref="M5:M18" si="2">+L5/4</f>
        <v>287.87878787878799</v>
      </c>
    </row>
    <row r="6" spans="1:14" x14ac:dyDescent="0.25">
      <c r="A6" s="2">
        <v>44416</v>
      </c>
      <c r="B6">
        <v>3</v>
      </c>
      <c r="C6">
        <v>1457</v>
      </c>
      <c r="D6">
        <v>33</v>
      </c>
      <c r="E6">
        <f t="shared" si="1"/>
        <v>44151.515151515152</v>
      </c>
      <c r="G6" s="2">
        <v>44417</v>
      </c>
      <c r="H6">
        <v>3</v>
      </c>
      <c r="I6">
        <v>1300</v>
      </c>
      <c r="J6">
        <v>33</v>
      </c>
      <c r="K6">
        <f t="shared" si="0"/>
        <v>39393.939393939392</v>
      </c>
      <c r="L6">
        <f t="shared" ref="L6:L18" si="3">+E6-K6</f>
        <v>4757.5757575757598</v>
      </c>
      <c r="M6">
        <f t="shared" si="2"/>
        <v>1189.3939393939399</v>
      </c>
    </row>
    <row r="7" spans="1:14" x14ac:dyDescent="0.25">
      <c r="A7" s="2">
        <v>44416</v>
      </c>
      <c r="B7">
        <v>4</v>
      </c>
      <c r="C7">
        <v>966</v>
      </c>
      <c r="D7">
        <v>33</v>
      </c>
      <c r="E7">
        <f t="shared" si="1"/>
        <v>29272.727272727272</v>
      </c>
      <c r="G7" s="2">
        <v>44417</v>
      </c>
      <c r="H7">
        <v>4</v>
      </c>
      <c r="I7">
        <v>957</v>
      </c>
      <c r="J7">
        <v>33</v>
      </c>
      <c r="K7">
        <f t="shared" si="0"/>
        <v>29000</v>
      </c>
      <c r="L7">
        <f t="shared" si="3"/>
        <v>272.72727272727207</v>
      </c>
      <c r="M7">
        <f t="shared" si="2"/>
        <v>68.181818181818016</v>
      </c>
    </row>
    <row r="8" spans="1:14" x14ac:dyDescent="0.25">
      <c r="A8" s="2">
        <v>44416</v>
      </c>
      <c r="B8">
        <v>5</v>
      </c>
      <c r="C8">
        <v>1139</v>
      </c>
      <c r="D8">
        <v>33</v>
      </c>
      <c r="E8">
        <f t="shared" si="1"/>
        <v>34515.151515151512</v>
      </c>
      <c r="G8" s="2">
        <v>44417</v>
      </c>
      <c r="H8">
        <v>5</v>
      </c>
      <c r="I8">
        <v>1002</v>
      </c>
      <c r="J8">
        <v>33</v>
      </c>
      <c r="K8">
        <f t="shared" si="0"/>
        <v>30363.636363636364</v>
      </c>
      <c r="L8">
        <f t="shared" si="3"/>
        <v>4151.5151515151483</v>
      </c>
      <c r="M8">
        <f t="shared" si="2"/>
        <v>1037.8787878787871</v>
      </c>
    </row>
    <row r="9" spans="1:14" x14ac:dyDescent="0.25">
      <c r="A9" s="2">
        <v>44416</v>
      </c>
      <c r="B9">
        <v>6</v>
      </c>
      <c r="C9">
        <v>699</v>
      </c>
      <c r="D9">
        <v>33</v>
      </c>
      <c r="E9">
        <f t="shared" si="1"/>
        <v>21181.818181818184</v>
      </c>
      <c r="G9" s="2">
        <v>44417</v>
      </c>
      <c r="H9">
        <v>6</v>
      </c>
      <c r="I9">
        <v>692</v>
      </c>
      <c r="J9">
        <v>33</v>
      </c>
      <c r="K9">
        <f t="shared" si="0"/>
        <v>20969.696969696968</v>
      </c>
      <c r="L9">
        <f t="shared" si="3"/>
        <v>212.12121212121565</v>
      </c>
      <c r="M9">
        <f t="shared" si="2"/>
        <v>53.030303030303912</v>
      </c>
      <c r="N9">
        <f>AVERAGE(M9:M13)</f>
        <v>434.84848484848487</v>
      </c>
    </row>
    <row r="10" spans="1:14" x14ac:dyDescent="0.25">
      <c r="A10" s="2">
        <v>44416</v>
      </c>
      <c r="B10">
        <v>7</v>
      </c>
      <c r="C10">
        <v>686</v>
      </c>
      <c r="D10">
        <v>33</v>
      </c>
      <c r="E10">
        <f t="shared" si="1"/>
        <v>20787.878787878788</v>
      </c>
      <c r="G10" s="2">
        <v>44417</v>
      </c>
      <c r="H10">
        <v>7</v>
      </c>
      <c r="I10">
        <v>673</v>
      </c>
      <c r="J10">
        <v>33</v>
      </c>
      <c r="K10">
        <f t="shared" si="0"/>
        <v>20393.939393939396</v>
      </c>
      <c r="L10">
        <f t="shared" si="3"/>
        <v>393.93939393939218</v>
      </c>
      <c r="M10">
        <f t="shared" si="2"/>
        <v>98.484848484848044</v>
      </c>
    </row>
    <row r="11" spans="1:14" x14ac:dyDescent="0.25">
      <c r="A11" s="2">
        <v>44416</v>
      </c>
      <c r="B11">
        <v>8</v>
      </c>
      <c r="C11">
        <v>469</v>
      </c>
      <c r="D11">
        <v>33</v>
      </c>
      <c r="E11">
        <f t="shared" si="1"/>
        <v>14212.121212121212</v>
      </c>
      <c r="G11" s="2">
        <v>44417</v>
      </c>
      <c r="H11">
        <v>8</v>
      </c>
      <c r="I11">
        <v>369</v>
      </c>
      <c r="J11">
        <v>33</v>
      </c>
      <c r="K11">
        <f t="shared" si="0"/>
        <v>11181.818181818182</v>
      </c>
      <c r="L11">
        <f t="shared" si="3"/>
        <v>3030.30303030303</v>
      </c>
      <c r="M11">
        <f t="shared" si="2"/>
        <v>757.57575757575751</v>
      </c>
    </row>
    <row r="12" spans="1:14" x14ac:dyDescent="0.25">
      <c r="A12" s="2">
        <v>44416</v>
      </c>
      <c r="B12">
        <v>9</v>
      </c>
      <c r="C12">
        <v>697</v>
      </c>
      <c r="D12">
        <v>33</v>
      </c>
      <c r="E12">
        <f t="shared" si="1"/>
        <v>21121.21212121212</v>
      </c>
      <c r="G12" s="2">
        <v>44417</v>
      </c>
      <c r="H12">
        <v>9</v>
      </c>
      <c r="I12">
        <v>634</v>
      </c>
      <c r="J12">
        <v>33</v>
      </c>
      <c r="K12">
        <f>+I12/J12*1000</f>
        <v>19212.121212121212</v>
      </c>
      <c r="L12">
        <f>+E12-K12</f>
        <v>1909.0909090909081</v>
      </c>
      <c r="M12">
        <f t="shared" si="2"/>
        <v>477.27272727272702</v>
      </c>
    </row>
    <row r="13" spans="1:14" x14ac:dyDescent="0.25">
      <c r="A13" s="2">
        <v>44416</v>
      </c>
      <c r="B13">
        <v>10</v>
      </c>
      <c r="C13">
        <v>879</v>
      </c>
      <c r="D13">
        <v>33</v>
      </c>
      <c r="E13">
        <f t="shared" si="1"/>
        <v>26636.363636363636</v>
      </c>
      <c r="G13" s="2">
        <v>44417</v>
      </c>
      <c r="H13">
        <v>10</v>
      </c>
      <c r="I13">
        <v>775</v>
      </c>
      <c r="J13">
        <v>33</v>
      </c>
      <c r="K13">
        <f t="shared" si="0"/>
        <v>23484.848484848484</v>
      </c>
      <c r="L13">
        <f t="shared" si="3"/>
        <v>3151.515151515152</v>
      </c>
      <c r="M13">
        <f t="shared" si="2"/>
        <v>787.87878787878799</v>
      </c>
    </row>
    <row r="14" spans="1:14" x14ac:dyDescent="0.25">
      <c r="A14" s="2">
        <v>44416</v>
      </c>
      <c r="B14">
        <v>11</v>
      </c>
      <c r="C14">
        <v>574</v>
      </c>
      <c r="D14">
        <v>33</v>
      </c>
      <c r="E14">
        <f t="shared" si="1"/>
        <v>17393.939393939396</v>
      </c>
      <c r="G14" s="2">
        <v>44417</v>
      </c>
      <c r="H14">
        <v>11</v>
      </c>
      <c r="I14">
        <v>447</v>
      </c>
      <c r="J14">
        <v>33</v>
      </c>
      <c r="K14">
        <f>+I14/J14*1000</f>
        <v>13545.454545454544</v>
      </c>
      <c r="L14">
        <f t="shared" si="3"/>
        <v>3848.4848484848517</v>
      </c>
      <c r="M14">
        <f t="shared" si="2"/>
        <v>962.12121212121292</v>
      </c>
      <c r="N14">
        <f>AVERAGE(M14:M18)</f>
        <v>1227.2727272727275</v>
      </c>
    </row>
    <row r="15" spans="1:14" x14ac:dyDescent="0.25">
      <c r="A15" s="2">
        <v>44416</v>
      </c>
      <c r="B15">
        <v>12</v>
      </c>
      <c r="C15">
        <v>605</v>
      </c>
      <c r="D15">
        <v>33</v>
      </c>
      <c r="E15">
        <f t="shared" si="1"/>
        <v>18333.333333333332</v>
      </c>
      <c r="G15" s="2">
        <v>44417</v>
      </c>
      <c r="H15">
        <v>12</v>
      </c>
      <c r="I15">
        <v>490</v>
      </c>
      <c r="J15">
        <v>33</v>
      </c>
      <c r="K15">
        <f t="shared" si="0"/>
        <v>14848.484848484848</v>
      </c>
      <c r="L15">
        <f t="shared" si="3"/>
        <v>3484.8484848484841</v>
      </c>
      <c r="M15">
        <f t="shared" si="2"/>
        <v>871.21212121212102</v>
      </c>
    </row>
    <row r="16" spans="1:14" x14ac:dyDescent="0.25">
      <c r="A16" s="2">
        <v>44416</v>
      </c>
      <c r="B16">
        <v>13</v>
      </c>
      <c r="C16">
        <v>649</v>
      </c>
      <c r="D16">
        <v>33</v>
      </c>
      <c r="E16">
        <f t="shared" si="1"/>
        <v>19666.666666666668</v>
      </c>
      <c r="G16" s="2">
        <v>44417</v>
      </c>
      <c r="H16">
        <v>13</v>
      </c>
      <c r="I16">
        <v>458</v>
      </c>
      <c r="J16">
        <v>33</v>
      </c>
      <c r="K16">
        <f t="shared" si="0"/>
        <v>13878.787878787878</v>
      </c>
      <c r="L16">
        <f t="shared" si="3"/>
        <v>5787.8787878787898</v>
      </c>
      <c r="M16">
        <f t="shared" si="2"/>
        <v>1446.9696969696975</v>
      </c>
    </row>
    <row r="17" spans="1:13" x14ac:dyDescent="0.25">
      <c r="A17" s="2">
        <v>44416</v>
      </c>
      <c r="B17">
        <v>14</v>
      </c>
      <c r="C17">
        <v>652</v>
      </c>
      <c r="D17">
        <v>33</v>
      </c>
      <c r="E17">
        <f t="shared" si="1"/>
        <v>19757.575757575756</v>
      </c>
      <c r="G17" s="2">
        <v>44417</v>
      </c>
      <c r="H17">
        <v>14</v>
      </c>
      <c r="I17">
        <v>469</v>
      </c>
      <c r="J17">
        <v>33</v>
      </c>
      <c r="K17">
        <f t="shared" si="0"/>
        <v>14212.121212121212</v>
      </c>
      <c r="L17">
        <f t="shared" si="3"/>
        <v>5545.4545454545441</v>
      </c>
      <c r="M17">
        <f t="shared" si="2"/>
        <v>1386.363636363636</v>
      </c>
    </row>
    <row r="18" spans="1:13" x14ac:dyDescent="0.25">
      <c r="A18" s="2">
        <v>44416</v>
      </c>
      <c r="B18">
        <v>15</v>
      </c>
      <c r="C18">
        <v>647</v>
      </c>
      <c r="D18">
        <v>33</v>
      </c>
      <c r="E18">
        <f t="shared" si="1"/>
        <v>19606.060606060604</v>
      </c>
      <c r="G18" s="2">
        <v>44417</v>
      </c>
      <c r="H18">
        <v>15</v>
      </c>
      <c r="I18">
        <v>453</v>
      </c>
      <c r="J18">
        <v>33</v>
      </c>
      <c r="K18">
        <f t="shared" si="0"/>
        <v>13727.272727272726</v>
      </c>
      <c r="L18">
        <f t="shared" si="3"/>
        <v>5878.7878787878781</v>
      </c>
      <c r="M18">
        <f t="shared" si="2"/>
        <v>1469.6969696969695</v>
      </c>
    </row>
    <row r="20" spans="1:13" x14ac:dyDescent="0.25">
      <c r="A20" t="s">
        <v>41</v>
      </c>
      <c r="B20" s="7"/>
    </row>
    <row r="21" spans="1:13" x14ac:dyDescent="0.25">
      <c r="A21" s="6" t="s">
        <v>42</v>
      </c>
      <c r="B21" s="7"/>
    </row>
    <row r="25" spans="1:13" x14ac:dyDescent="0.25">
      <c r="H25" s="6" t="s">
        <v>33</v>
      </c>
    </row>
    <row r="26" spans="1:13" x14ac:dyDescent="0.25">
      <c r="A26" t="s">
        <v>28</v>
      </c>
      <c r="B26">
        <v>19618</v>
      </c>
      <c r="C26">
        <v>33</v>
      </c>
      <c r="D26">
        <f>+B26/C26*2100/100*1000</f>
        <v>12484181.818181818</v>
      </c>
      <c r="F26">
        <f>+D26*30/10500</f>
        <v>35669.090909090912</v>
      </c>
      <c r="H26">
        <f>+F26+F27</f>
        <v>48203.172121212127</v>
      </c>
    </row>
    <row r="27" spans="1:13" x14ac:dyDescent="0.25">
      <c r="A27" t="s">
        <v>29</v>
      </c>
      <c r="B27">
        <v>22214</v>
      </c>
      <c r="C27">
        <v>33</v>
      </c>
      <c r="D27">
        <f>+B27/C27*2100/100*1000</f>
        <v>14136181.818181818</v>
      </c>
      <c r="F27">
        <f>+D27*9.31/10500</f>
        <v>12534.081212121213</v>
      </c>
    </row>
    <row r="28" spans="1:13" x14ac:dyDescent="0.25">
      <c r="A28" t="s">
        <v>31</v>
      </c>
      <c r="B28">
        <v>7793</v>
      </c>
      <c r="C28">
        <v>33</v>
      </c>
      <c r="D28">
        <f>+B28/C28*2100/100*1000</f>
        <v>4959181.8181818184</v>
      </c>
    </row>
    <row r="29" spans="1:13" x14ac:dyDescent="0.25">
      <c r="A29" t="s">
        <v>7</v>
      </c>
      <c r="B29">
        <v>3675</v>
      </c>
      <c r="C29">
        <v>33</v>
      </c>
      <c r="D29">
        <f>+B29/C29*2100/100*1000</f>
        <v>2338636.3636363633</v>
      </c>
    </row>
    <row r="32" spans="1:13" x14ac:dyDescent="0.25">
      <c r="J32">
        <f>(28)/33*1000</f>
        <v>848.4848484848485</v>
      </c>
    </row>
    <row r="33" spans="1:7" x14ac:dyDescent="0.25">
      <c r="A33">
        <v>10.08</v>
      </c>
      <c r="B33">
        <f>+D26*10.08/10500</f>
        <v>11984.814545454547</v>
      </c>
      <c r="C33">
        <f>+A33*75000/36947</f>
        <v>20.461742496007794</v>
      </c>
      <c r="D33">
        <f>+D26*C33</f>
        <v>255448113.63697875</v>
      </c>
      <c r="E33">
        <v>8.94</v>
      </c>
      <c r="G33">
        <f>E33*2/51.24</f>
        <v>0.34894613583138168</v>
      </c>
    </row>
    <row r="34" spans="1:7" x14ac:dyDescent="0.25">
      <c r="A34">
        <v>8.94</v>
      </c>
      <c r="B34">
        <f>+D27*8.94/10500</f>
        <v>12035.949090909091</v>
      </c>
      <c r="C34">
        <f t="shared" ref="C34:C35" si="4">+A34*75000/36947</f>
        <v>18.147616856578342</v>
      </c>
      <c r="D34">
        <f t="shared" ref="D34:D35" si="5">+D27*C34</f>
        <v>256538011.45129263</v>
      </c>
      <c r="E34">
        <f>11.52*2</f>
        <v>23.04</v>
      </c>
      <c r="G34">
        <f>E34*2/51.24</f>
        <v>0.89929742388758771</v>
      </c>
    </row>
    <row r="35" spans="1:7" x14ac:dyDescent="0.25">
      <c r="A35">
        <v>23.04</v>
      </c>
      <c r="B35">
        <f>+D28*(23.04)/10500</f>
        <v>10881.861818181818</v>
      </c>
      <c r="C35">
        <f t="shared" si="4"/>
        <v>46.769697133732102</v>
      </c>
      <c r="D35">
        <f t="shared" si="5"/>
        <v>231939431.66747454</v>
      </c>
      <c r="E35">
        <v>10.08</v>
      </c>
      <c r="G35">
        <f>E35*2/51.24</f>
        <v>0.39344262295081966</v>
      </c>
    </row>
    <row r="36" spans="1:7" x14ac:dyDescent="0.25">
      <c r="A36">
        <v>4.59</v>
      </c>
      <c r="B36">
        <f>+D29*(4.59*2)/10500</f>
        <v>2044.6363636363631</v>
      </c>
      <c r="C36">
        <f>+A36*75000/36947</f>
        <v>9.317400600860692</v>
      </c>
      <c r="D36">
        <f>+D29*C36</f>
        <v>21790011.859740116</v>
      </c>
      <c r="E36">
        <f>4.59*2</f>
        <v>9.18</v>
      </c>
      <c r="G36">
        <f>E36*2/51.24</f>
        <v>0.35831381733021073</v>
      </c>
    </row>
    <row r="37" spans="1:7" x14ac:dyDescent="0.25">
      <c r="E37">
        <f>SUM(E33:E36)</f>
        <v>51.239999999999995</v>
      </c>
    </row>
    <row r="38" spans="1:7" x14ac:dyDescent="0.25">
      <c r="A38">
        <f>SUM(A33:A36)</f>
        <v>46.650000000000006</v>
      </c>
      <c r="B38">
        <f>SUM(B33:B36)</f>
        <v>36947.261818181818</v>
      </c>
      <c r="C38">
        <f>SUM(C33:C36)</f>
        <v>94.696457087178928</v>
      </c>
    </row>
    <row r="39" spans="1:7" x14ac:dyDescent="0.25">
      <c r="G39">
        <f>+D33/D44*100</f>
        <v>21.525097360386432</v>
      </c>
    </row>
    <row r="40" spans="1:7" x14ac:dyDescent="0.25">
      <c r="G40">
        <f>+D34/D44*100</f>
        <v>21.616936584532432</v>
      </c>
    </row>
    <row r="41" spans="1:7" x14ac:dyDescent="0.25">
      <c r="D41">
        <f>+D35*1.5</f>
        <v>347909147.50121182</v>
      </c>
      <c r="G41">
        <f>+D41/D44*100</f>
        <v>29.316240256818055</v>
      </c>
    </row>
    <row r="42" spans="1:7" x14ac:dyDescent="0.25">
      <c r="D42">
        <f>+D36*15</f>
        <v>326850177.89610171</v>
      </c>
      <c r="G42">
        <f>+D42/D44*100</f>
        <v>27.541725798263077</v>
      </c>
    </row>
    <row r="43" spans="1:7" x14ac:dyDescent="0.25">
      <c r="G43">
        <f>SUM(G39:G42)</f>
        <v>99.999999999999986</v>
      </c>
    </row>
    <row r="44" spans="1:7" x14ac:dyDescent="0.25">
      <c r="D44">
        <f>+D33+D34+D41+D42</f>
        <v>1186745450.485585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G1" workbookViewId="0">
      <selection activeCell="M21" sqref="M21"/>
    </sheetView>
  </sheetViews>
  <sheetFormatPr defaultRowHeight="15" x14ac:dyDescent="0.25"/>
  <cols>
    <col min="1" max="1" width="12" bestFit="1" customWidth="1"/>
    <col min="3" max="3" width="10" bestFit="1" customWidth="1"/>
    <col min="4" max="4" width="12" bestFit="1" customWidth="1"/>
    <col min="5" max="5" width="11" bestFit="1" customWidth="1"/>
    <col min="6" max="6" width="12" bestFit="1" customWidth="1"/>
    <col min="7" max="7" width="10" bestFit="1" customWidth="1"/>
    <col min="9" max="9" width="10" bestFit="1" customWidth="1"/>
    <col min="32" max="32" width="15.28515625" customWidth="1"/>
  </cols>
  <sheetData>
    <row r="1" spans="1:19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9" x14ac:dyDescent="0.25">
      <c r="A2" s="5"/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9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9" x14ac:dyDescent="0.25">
      <c r="A4" s="2">
        <v>44416</v>
      </c>
      <c r="B4">
        <v>1</v>
      </c>
      <c r="C4" s="1">
        <v>1037</v>
      </c>
      <c r="D4">
        <v>33</v>
      </c>
      <c r="E4">
        <f>+C4/33*1000</f>
        <v>31424.242424242424</v>
      </c>
      <c r="F4">
        <f>+E4+11000</f>
        <v>42424.242424242424</v>
      </c>
      <c r="G4" s="2">
        <v>44417</v>
      </c>
      <c r="H4">
        <v>1</v>
      </c>
      <c r="I4">
        <v>391</v>
      </c>
      <c r="J4">
        <v>35</v>
      </c>
      <c r="K4">
        <f t="shared" ref="K4:K18" si="0">+I4/J4*1000</f>
        <v>11171.428571428571</v>
      </c>
      <c r="L4">
        <f>+F4-K4</f>
        <v>31252.813852813852</v>
      </c>
      <c r="M4">
        <f>+L4/16</f>
        <v>1953.3008658008657</v>
      </c>
      <c r="N4">
        <f>AVERAGE(M4:M8)</f>
        <v>2005.0541125541124</v>
      </c>
      <c r="P4">
        <f>+K4+31000</f>
        <v>42171.428571428572</v>
      </c>
      <c r="Q4">
        <f>P4-Q6</f>
        <v>26131.428571428572</v>
      </c>
      <c r="R4">
        <f>+Q4+31000</f>
        <v>57131.428571428572</v>
      </c>
      <c r="S4">
        <f>+R4-R6</f>
        <v>23045.508658008664</v>
      </c>
    </row>
    <row r="5" spans="1:19" x14ac:dyDescent="0.25">
      <c r="A5" s="2">
        <v>44416</v>
      </c>
      <c r="B5">
        <v>2</v>
      </c>
      <c r="C5">
        <v>1032</v>
      </c>
      <c r="D5">
        <v>33</v>
      </c>
      <c r="E5">
        <f t="shared" ref="E5:E18" si="1">+C5/33*1000</f>
        <v>31272.727272727272</v>
      </c>
      <c r="F5">
        <f t="shared" ref="F5:F8" si="2">+E5+11000</f>
        <v>42272.727272727272</v>
      </c>
      <c r="G5" s="2">
        <v>44417</v>
      </c>
      <c r="H5">
        <v>2</v>
      </c>
      <c r="I5">
        <v>155</v>
      </c>
      <c r="J5">
        <v>33</v>
      </c>
      <c r="K5">
        <f t="shared" si="0"/>
        <v>4696.969696969697</v>
      </c>
      <c r="L5">
        <f t="shared" ref="L5:L13" si="3">+F5-K5</f>
        <v>37575.757575757576</v>
      </c>
      <c r="M5">
        <f t="shared" ref="M5:M8" si="4">+L5/16</f>
        <v>2348.4848484848485</v>
      </c>
      <c r="P5">
        <f t="shared" ref="P5:P8" si="5">+K5+31000</f>
        <v>35696.969696969696</v>
      </c>
    </row>
    <row r="6" spans="1:19" x14ac:dyDescent="0.25">
      <c r="A6" s="2">
        <v>44416</v>
      </c>
      <c r="B6">
        <v>3</v>
      </c>
      <c r="C6">
        <v>1234</v>
      </c>
      <c r="D6">
        <v>33</v>
      </c>
      <c r="E6">
        <f t="shared" si="1"/>
        <v>37393.939393939392</v>
      </c>
      <c r="F6">
        <f t="shared" si="2"/>
        <v>48393.939393939392</v>
      </c>
      <c r="G6" s="2">
        <v>44417</v>
      </c>
      <c r="H6">
        <v>3</v>
      </c>
      <c r="I6">
        <v>719</v>
      </c>
      <c r="J6">
        <v>33</v>
      </c>
      <c r="K6">
        <f t="shared" si="0"/>
        <v>21787.878787878788</v>
      </c>
      <c r="L6">
        <f t="shared" si="3"/>
        <v>26606.060606060604</v>
      </c>
      <c r="M6">
        <f t="shared" si="4"/>
        <v>1662.8787878787878</v>
      </c>
      <c r="P6">
        <f t="shared" si="5"/>
        <v>52787.878787878784</v>
      </c>
      <c r="Q6">
        <f>2005*8</f>
        <v>16040</v>
      </c>
      <c r="R6">
        <f>+N4*17</f>
        <v>34085.919913419908</v>
      </c>
    </row>
    <row r="7" spans="1:19" x14ac:dyDescent="0.25">
      <c r="A7" s="2">
        <v>44416</v>
      </c>
      <c r="B7">
        <v>4</v>
      </c>
      <c r="C7">
        <v>1022</v>
      </c>
      <c r="D7">
        <v>33</v>
      </c>
      <c r="E7">
        <f t="shared" si="1"/>
        <v>30969.696969696968</v>
      </c>
      <c r="F7">
        <f t="shared" si="2"/>
        <v>41969.696969696968</v>
      </c>
      <c r="G7" s="2">
        <v>44417</v>
      </c>
      <c r="H7">
        <v>4</v>
      </c>
      <c r="I7">
        <v>224</v>
      </c>
      <c r="J7">
        <v>33</v>
      </c>
      <c r="K7">
        <f t="shared" si="0"/>
        <v>6787.878787878788</v>
      </c>
      <c r="L7">
        <f t="shared" si="3"/>
        <v>35181.818181818177</v>
      </c>
      <c r="M7">
        <f t="shared" si="4"/>
        <v>2198.863636363636</v>
      </c>
      <c r="P7">
        <f t="shared" si="5"/>
        <v>37787.878787878784</v>
      </c>
    </row>
    <row r="8" spans="1:19" x14ac:dyDescent="0.25">
      <c r="A8" s="2">
        <v>44416</v>
      </c>
      <c r="B8">
        <v>5</v>
      </c>
      <c r="C8">
        <v>1069</v>
      </c>
      <c r="D8">
        <v>33</v>
      </c>
      <c r="E8">
        <f t="shared" si="1"/>
        <v>32393.939393939392</v>
      </c>
      <c r="F8">
        <f t="shared" si="2"/>
        <v>43393.939393939392</v>
      </c>
      <c r="G8" s="2">
        <v>44417</v>
      </c>
      <c r="H8">
        <v>5</v>
      </c>
      <c r="I8">
        <v>449</v>
      </c>
      <c r="J8">
        <v>33</v>
      </c>
      <c r="K8">
        <f t="shared" si="0"/>
        <v>13606.060606060606</v>
      </c>
      <c r="L8">
        <f t="shared" si="3"/>
        <v>29787.878787878784</v>
      </c>
      <c r="M8">
        <f t="shared" si="4"/>
        <v>1861.742424242424</v>
      </c>
      <c r="P8">
        <f t="shared" si="5"/>
        <v>44606.060606060608</v>
      </c>
    </row>
    <row r="9" spans="1:19" x14ac:dyDescent="0.25">
      <c r="A9" s="2">
        <v>44416</v>
      </c>
      <c r="B9">
        <v>6</v>
      </c>
      <c r="C9">
        <v>877</v>
      </c>
      <c r="D9">
        <v>33</v>
      </c>
      <c r="E9">
        <f t="shared" si="1"/>
        <v>26575.757575757576</v>
      </c>
      <c r="F9">
        <f>+E9+5500</f>
        <v>32075.757575757576</v>
      </c>
      <c r="G9" s="2">
        <v>44417</v>
      </c>
      <c r="H9">
        <v>6</v>
      </c>
      <c r="I9">
        <v>416</v>
      </c>
      <c r="J9">
        <v>33</v>
      </c>
      <c r="K9">
        <f t="shared" si="0"/>
        <v>12606.060606060606</v>
      </c>
      <c r="L9">
        <f t="shared" si="3"/>
        <v>19469.696969696968</v>
      </c>
      <c r="M9">
        <f t="shared" ref="M9:M18" si="6">+L9/17</f>
        <v>1145.2762923351158</v>
      </c>
      <c r="N9">
        <f>AVERAGE(M9:M13)</f>
        <v>983.77896613190728</v>
      </c>
    </row>
    <row r="10" spans="1:19" x14ac:dyDescent="0.25">
      <c r="A10" s="2">
        <v>44416</v>
      </c>
      <c r="B10">
        <v>7</v>
      </c>
      <c r="C10">
        <v>862</v>
      </c>
      <c r="D10">
        <v>33</v>
      </c>
      <c r="E10">
        <f t="shared" si="1"/>
        <v>26121.21212121212</v>
      </c>
      <c r="F10">
        <f t="shared" ref="F10:F13" si="7">+E10+5500</f>
        <v>31621.21212121212</v>
      </c>
      <c r="G10" s="2">
        <v>44417</v>
      </c>
      <c r="H10">
        <v>7</v>
      </c>
      <c r="I10">
        <v>433</v>
      </c>
      <c r="J10">
        <v>33</v>
      </c>
      <c r="K10">
        <f t="shared" si="0"/>
        <v>13121.212121212122</v>
      </c>
      <c r="L10">
        <f t="shared" si="3"/>
        <v>18500</v>
      </c>
      <c r="M10">
        <f t="shared" si="6"/>
        <v>1088.2352941176471</v>
      </c>
    </row>
    <row r="11" spans="1:19" x14ac:dyDescent="0.25">
      <c r="A11" s="2">
        <v>44416</v>
      </c>
      <c r="B11">
        <v>8</v>
      </c>
      <c r="C11">
        <v>719</v>
      </c>
      <c r="D11">
        <v>33</v>
      </c>
      <c r="E11">
        <f t="shared" si="1"/>
        <v>21787.878787878788</v>
      </c>
      <c r="F11">
        <f t="shared" si="7"/>
        <v>27287.878787878788</v>
      </c>
      <c r="G11" s="2">
        <v>44417</v>
      </c>
      <c r="H11">
        <v>8</v>
      </c>
      <c r="I11">
        <v>518</v>
      </c>
      <c r="J11">
        <v>33</v>
      </c>
      <c r="K11">
        <f t="shared" si="0"/>
        <v>15696.969696969698</v>
      </c>
      <c r="L11">
        <f t="shared" si="3"/>
        <v>11590.90909090909</v>
      </c>
      <c r="M11">
        <f t="shared" si="6"/>
        <v>681.81818181818176</v>
      </c>
    </row>
    <row r="12" spans="1:19" x14ac:dyDescent="0.25">
      <c r="A12" s="2">
        <v>44416</v>
      </c>
      <c r="B12">
        <v>9</v>
      </c>
      <c r="C12">
        <v>782</v>
      </c>
      <c r="D12">
        <v>33</v>
      </c>
      <c r="E12">
        <f t="shared" si="1"/>
        <v>23696.969696969696</v>
      </c>
      <c r="F12">
        <f t="shared" si="7"/>
        <v>29196.969696969696</v>
      </c>
      <c r="G12" s="2">
        <v>44417</v>
      </c>
      <c r="H12">
        <v>9</v>
      </c>
      <c r="I12">
        <v>405</v>
      </c>
      <c r="J12">
        <v>33</v>
      </c>
      <c r="K12">
        <f>+I12/J12*1000</f>
        <v>12272.727272727274</v>
      </c>
      <c r="L12">
        <f t="shared" si="3"/>
        <v>16924.242424242424</v>
      </c>
      <c r="M12">
        <f t="shared" si="6"/>
        <v>995.54367201426021</v>
      </c>
    </row>
    <row r="13" spans="1:19" x14ac:dyDescent="0.25">
      <c r="A13" s="2">
        <v>44416</v>
      </c>
      <c r="B13">
        <v>10</v>
      </c>
      <c r="C13">
        <v>964</v>
      </c>
      <c r="D13">
        <v>33</v>
      </c>
      <c r="E13">
        <f t="shared" si="1"/>
        <v>29212.121212121212</v>
      </c>
      <c r="F13">
        <f t="shared" si="7"/>
        <v>34712.121212121216</v>
      </c>
      <c r="G13" s="2">
        <v>44417</v>
      </c>
      <c r="H13">
        <v>10</v>
      </c>
      <c r="I13">
        <v>580</v>
      </c>
      <c r="J13">
        <v>33</v>
      </c>
      <c r="K13">
        <f t="shared" si="0"/>
        <v>17575.757575757576</v>
      </c>
      <c r="L13">
        <f t="shared" si="3"/>
        <v>17136.36363636364</v>
      </c>
      <c r="M13">
        <f t="shared" si="6"/>
        <v>1008.0213903743318</v>
      </c>
    </row>
    <row r="14" spans="1:19" x14ac:dyDescent="0.25">
      <c r="A14" s="2">
        <v>44416</v>
      </c>
      <c r="B14">
        <v>11</v>
      </c>
      <c r="C14">
        <v>699</v>
      </c>
      <c r="D14">
        <v>33</v>
      </c>
      <c r="E14">
        <f t="shared" si="1"/>
        <v>21181.818181818184</v>
      </c>
      <c r="G14" s="2">
        <v>44417</v>
      </c>
      <c r="H14">
        <v>11</v>
      </c>
      <c r="I14">
        <v>375</v>
      </c>
      <c r="J14">
        <v>33</v>
      </c>
      <c r="K14">
        <f>+I14/J14*1000</f>
        <v>11363.636363636364</v>
      </c>
      <c r="L14">
        <f t="shared" ref="L14:L18" si="8">+E14-K14</f>
        <v>9818.1818181818198</v>
      </c>
      <c r="M14">
        <f t="shared" si="6"/>
        <v>577.54010695187173</v>
      </c>
      <c r="N14">
        <f>AVERAGE(M14:M18)</f>
        <v>556.86274509803923</v>
      </c>
    </row>
    <row r="15" spans="1:19" x14ac:dyDescent="0.25">
      <c r="A15" s="2">
        <v>44416</v>
      </c>
      <c r="B15">
        <v>12</v>
      </c>
      <c r="C15">
        <v>708</v>
      </c>
      <c r="D15">
        <v>33</v>
      </c>
      <c r="E15">
        <f t="shared" si="1"/>
        <v>21454.545454545452</v>
      </c>
      <c r="G15" s="2">
        <v>44417</v>
      </c>
      <c r="H15">
        <v>12</v>
      </c>
      <c r="I15">
        <v>372</v>
      </c>
      <c r="J15">
        <v>33</v>
      </c>
      <c r="K15">
        <f t="shared" si="0"/>
        <v>11272.727272727274</v>
      </c>
      <c r="L15">
        <f t="shared" si="8"/>
        <v>10181.818181818178</v>
      </c>
      <c r="M15">
        <f t="shared" si="6"/>
        <v>598.9304812834223</v>
      </c>
    </row>
    <row r="16" spans="1:19" x14ac:dyDescent="0.25">
      <c r="A16" s="2">
        <v>44416</v>
      </c>
      <c r="B16">
        <v>13</v>
      </c>
      <c r="C16">
        <v>601</v>
      </c>
      <c r="D16">
        <v>33</v>
      </c>
      <c r="E16">
        <f t="shared" si="1"/>
        <v>18212.121212121212</v>
      </c>
      <c r="G16" s="2">
        <v>44417</v>
      </c>
      <c r="H16">
        <v>13</v>
      </c>
      <c r="I16">
        <v>303</v>
      </c>
      <c r="J16">
        <v>33</v>
      </c>
      <c r="K16">
        <f t="shared" si="0"/>
        <v>9181.818181818182</v>
      </c>
      <c r="L16">
        <f t="shared" si="8"/>
        <v>9030.30303030303</v>
      </c>
      <c r="M16">
        <f t="shared" si="6"/>
        <v>531.19429590017819</v>
      </c>
    </row>
    <row r="17" spans="1:13" x14ac:dyDescent="0.25">
      <c r="A17" s="2">
        <v>44416</v>
      </c>
      <c r="B17">
        <v>14</v>
      </c>
      <c r="C17">
        <v>628</v>
      </c>
      <c r="D17">
        <v>33</v>
      </c>
      <c r="E17">
        <f t="shared" si="1"/>
        <v>19030.303030303032</v>
      </c>
      <c r="G17" s="2">
        <v>44417</v>
      </c>
      <c r="H17">
        <v>14</v>
      </c>
      <c r="I17">
        <v>330</v>
      </c>
      <c r="J17">
        <v>33</v>
      </c>
      <c r="K17">
        <f t="shared" si="0"/>
        <v>10000</v>
      </c>
      <c r="L17">
        <f t="shared" si="8"/>
        <v>9030.3030303030318</v>
      </c>
      <c r="M17">
        <f t="shared" si="6"/>
        <v>531.1942959001783</v>
      </c>
    </row>
    <row r="18" spans="1:13" x14ac:dyDescent="0.25">
      <c r="A18" s="2">
        <v>44416</v>
      </c>
      <c r="B18">
        <v>15</v>
      </c>
      <c r="C18">
        <v>688</v>
      </c>
      <c r="D18">
        <v>33</v>
      </c>
      <c r="E18">
        <f t="shared" si="1"/>
        <v>20848.484848484848</v>
      </c>
      <c r="G18" s="2">
        <v>44417</v>
      </c>
      <c r="H18">
        <v>15</v>
      </c>
      <c r="I18">
        <v>382</v>
      </c>
      <c r="J18">
        <v>33</v>
      </c>
      <c r="K18">
        <f t="shared" si="0"/>
        <v>11575.757575757576</v>
      </c>
      <c r="L18">
        <f t="shared" si="8"/>
        <v>9272.7272727272721</v>
      </c>
      <c r="M18">
        <f t="shared" si="6"/>
        <v>545.45454545454538</v>
      </c>
    </row>
    <row r="20" spans="1:13" x14ac:dyDescent="0.25">
      <c r="A20" t="s">
        <v>58</v>
      </c>
      <c r="B20" s="7"/>
      <c r="C20">
        <f>52000-E6</f>
        <v>14606.060606060608</v>
      </c>
    </row>
    <row r="21" spans="1:13" x14ac:dyDescent="0.25">
      <c r="A21" s="6" t="s">
        <v>59</v>
      </c>
      <c r="B21" s="7"/>
    </row>
    <row r="25" spans="1:13" x14ac:dyDescent="0.25">
      <c r="H25" s="6" t="s">
        <v>33</v>
      </c>
    </row>
    <row r="26" spans="1:13" x14ac:dyDescent="0.25">
      <c r="F26">
        <f>+D26*30/10500</f>
        <v>0</v>
      </c>
      <c r="H26">
        <f>+F26+F27</f>
        <v>0</v>
      </c>
    </row>
    <row r="27" spans="1:13" x14ac:dyDescent="0.25">
      <c r="F27">
        <f>+D27*9.31/10500</f>
        <v>0</v>
      </c>
    </row>
    <row r="28" spans="1:13" x14ac:dyDescent="0.25">
      <c r="A28" t="s">
        <v>31</v>
      </c>
      <c r="B28">
        <v>9584</v>
      </c>
      <c r="C28">
        <v>33</v>
      </c>
      <c r="D28">
        <f>+B28/C28*2100/100*1000</f>
        <v>6098909.0909090908</v>
      </c>
    </row>
    <row r="29" spans="1:13" x14ac:dyDescent="0.25">
      <c r="A29" t="s">
        <v>7</v>
      </c>
      <c r="B29">
        <v>7916</v>
      </c>
      <c r="C29">
        <v>33</v>
      </c>
      <c r="D29">
        <f>+B29/C29*2100/100*1000</f>
        <v>5037454.5454545449</v>
      </c>
      <c r="G29">
        <f>5500000*20/10000</f>
        <v>11000</v>
      </c>
    </row>
    <row r="32" spans="1:13" x14ac:dyDescent="0.25">
      <c r="J32">
        <f>(28)/33*1000</f>
        <v>848.4848484848485</v>
      </c>
    </row>
    <row r="33" spans="1:9" x14ac:dyDescent="0.25">
      <c r="A33">
        <v>10.08</v>
      </c>
      <c r="B33">
        <f>+D26*10.08/10500</f>
        <v>0</v>
      </c>
      <c r="C33">
        <f>+A33*75000/36947</f>
        <v>20.461742496007794</v>
      </c>
      <c r="D33">
        <f>+D26*C33</f>
        <v>0</v>
      </c>
      <c r="E33">
        <v>8.94</v>
      </c>
      <c r="G33">
        <f>E33*2/51.24</f>
        <v>0.34894613583138168</v>
      </c>
    </row>
    <row r="34" spans="1:9" x14ac:dyDescent="0.25">
      <c r="A34">
        <v>8.94</v>
      </c>
      <c r="B34">
        <f>+D27*8.94/10500</f>
        <v>0</v>
      </c>
      <c r="C34">
        <f t="shared" ref="C34:C35" si="9">+A34*75000/36947</f>
        <v>18.147616856578342</v>
      </c>
      <c r="D34">
        <f t="shared" ref="D34:D35" si="10">+D27*C34</f>
        <v>0</v>
      </c>
      <c r="E34">
        <f>11.52*2</f>
        <v>23.04</v>
      </c>
      <c r="G34">
        <f>E34*2/51.24</f>
        <v>0.89929742388758771</v>
      </c>
    </row>
    <row r="35" spans="1:9" x14ac:dyDescent="0.25">
      <c r="A35">
        <v>23.04</v>
      </c>
      <c r="B35">
        <f>+D28*(23.04)/10500</f>
        <v>13382.74909090909</v>
      </c>
      <c r="C35">
        <f t="shared" si="9"/>
        <v>46.769697133732102</v>
      </c>
      <c r="D35">
        <f t="shared" si="10"/>
        <v>285244131.02798355</v>
      </c>
      <c r="E35">
        <v>10.08</v>
      </c>
      <c r="G35">
        <f>E35*2/51.24</f>
        <v>0.39344262295081966</v>
      </c>
    </row>
    <row r="36" spans="1:9" x14ac:dyDescent="0.25">
      <c r="A36">
        <v>4.59</v>
      </c>
      <c r="B36">
        <f>+D29*(4.59*2)/10500</f>
        <v>4404.1745454545444</v>
      </c>
      <c r="C36">
        <f>+A36*75000/36947</f>
        <v>9.317400600860692</v>
      </c>
      <c r="D36">
        <f>+D29*C36</f>
        <v>46935982.008626603</v>
      </c>
      <c r="E36">
        <f>4.59*2</f>
        <v>9.18</v>
      </c>
      <c r="G36">
        <f>E36*2/51.24</f>
        <v>0.35831381733021073</v>
      </c>
    </row>
    <row r="37" spans="1:9" x14ac:dyDescent="0.25">
      <c r="E37">
        <f>SUM(E33:E36)</f>
        <v>51.239999999999995</v>
      </c>
    </row>
    <row r="38" spans="1:9" x14ac:dyDescent="0.25">
      <c r="B38">
        <f>SUM(B33:B36)</f>
        <v>17786.923636363634</v>
      </c>
      <c r="C38">
        <v>60000</v>
      </c>
    </row>
    <row r="39" spans="1:9" x14ac:dyDescent="0.25">
      <c r="G39">
        <f>+D33/D44*100</f>
        <v>0</v>
      </c>
    </row>
    <row r="40" spans="1:9" x14ac:dyDescent="0.25">
      <c r="G40">
        <f>+D34/D44*100</f>
        <v>0</v>
      </c>
    </row>
    <row r="41" spans="1:9" x14ac:dyDescent="0.25">
      <c r="D41">
        <f>+D35*1.5</f>
        <v>427866196.54197532</v>
      </c>
      <c r="G41">
        <f>+D41/D44*100</f>
        <v>37.800508545812875</v>
      </c>
    </row>
    <row r="42" spans="1:9" x14ac:dyDescent="0.25">
      <c r="D42">
        <f>+D36*15</f>
        <v>704039730.12939906</v>
      </c>
      <c r="G42">
        <f>+D42/D44*100</f>
        <v>62.199491454187125</v>
      </c>
    </row>
    <row r="43" spans="1:9" x14ac:dyDescent="0.25">
      <c r="G43">
        <f>SUM(G39:G42)</f>
        <v>100</v>
      </c>
    </row>
    <row r="44" spans="1:9" x14ac:dyDescent="0.25">
      <c r="D44">
        <f>+D33+D34+D41+D42</f>
        <v>1131905926.6713743</v>
      </c>
    </row>
    <row r="46" spans="1:9" x14ac:dyDescent="0.25">
      <c r="H46">
        <v>150000</v>
      </c>
      <c r="I46">
        <f>+H46/2</f>
        <v>75000</v>
      </c>
    </row>
    <row r="48" spans="1:9" x14ac:dyDescent="0.25">
      <c r="I48">
        <f>+I46/10</f>
        <v>7500</v>
      </c>
    </row>
    <row r="49" spans="1:9" x14ac:dyDescent="0.25">
      <c r="D49">
        <f>8.4+1.4</f>
        <v>9.8000000000000007</v>
      </c>
      <c r="I49">
        <f>+I48*10000</f>
        <v>75000000</v>
      </c>
    </row>
    <row r="50" spans="1:9" x14ac:dyDescent="0.25">
      <c r="D50">
        <f>9.8*2/5</f>
        <v>3.9200000000000004</v>
      </c>
      <c r="I50">
        <f>+I49/D29</f>
        <v>14.88847181116004</v>
      </c>
    </row>
    <row r="51" spans="1:9" x14ac:dyDescent="0.25">
      <c r="D51">
        <f>+D50*10</f>
        <v>39.200000000000003</v>
      </c>
    </row>
    <row r="52" spans="1:9" x14ac:dyDescent="0.25">
      <c r="D52">
        <f>+D51/2</f>
        <v>19.600000000000001</v>
      </c>
    </row>
    <row r="55" spans="1:9" x14ac:dyDescent="0.25">
      <c r="D55" t="s">
        <v>46</v>
      </c>
      <c r="E55" t="s">
        <v>30</v>
      </c>
      <c r="G55" t="s">
        <v>47</v>
      </c>
      <c r="H55" t="s">
        <v>48</v>
      </c>
      <c r="I55" t="s">
        <v>49</v>
      </c>
    </row>
    <row r="56" spans="1:9" x14ac:dyDescent="0.25">
      <c r="B56" t="s">
        <v>7</v>
      </c>
      <c r="C56" t="s">
        <v>31</v>
      </c>
      <c r="D56" t="s">
        <v>45</v>
      </c>
      <c r="E56" t="s">
        <v>45</v>
      </c>
    </row>
    <row r="57" spans="1:9" x14ac:dyDescent="0.25">
      <c r="A57" s="6" t="s">
        <v>43</v>
      </c>
      <c r="B57">
        <f>2330000*26/10000</f>
        <v>6058</v>
      </c>
      <c r="C57">
        <f>6090000*17.8/10000</f>
        <v>10840.2</v>
      </c>
      <c r="D57">
        <f>+B57*15</f>
        <v>90870</v>
      </c>
      <c r="E57">
        <f>+C57*2</f>
        <v>21680.400000000001</v>
      </c>
      <c r="G57">
        <f>D57+E57</f>
        <v>112550.39999999999</v>
      </c>
      <c r="H57">
        <f>+D57/G57*100</f>
        <v>80.737163084271586</v>
      </c>
      <c r="I57">
        <f>+E57/G57*100</f>
        <v>19.262836915728425</v>
      </c>
    </row>
    <row r="58" spans="1:9" x14ac:dyDescent="0.25">
      <c r="A58" t="s">
        <v>44</v>
      </c>
      <c r="B58">
        <f>2330000*16/10000</f>
        <v>3728</v>
      </c>
      <c r="C58">
        <f>6090000*13.35/10000</f>
        <v>8130.15</v>
      </c>
      <c r="D58">
        <f t="shared" ref="D58:D59" si="11">+B58*15</f>
        <v>55920</v>
      </c>
      <c r="E58">
        <f t="shared" ref="E58:E59" si="12">+C58*2</f>
        <v>16260.3</v>
      </c>
      <c r="G58">
        <f>D58+E58</f>
        <v>72180.3</v>
      </c>
      <c r="H58">
        <f t="shared" ref="H58:H59" si="13">+D58/G58*100</f>
        <v>77.472662208386495</v>
      </c>
      <c r="I58">
        <f t="shared" ref="I58:I59" si="14">+E58/G58*100</f>
        <v>22.527337791613501</v>
      </c>
    </row>
    <row r="59" spans="1:9" x14ac:dyDescent="0.25">
      <c r="A59" t="s">
        <v>33</v>
      </c>
      <c r="B59">
        <f>2330000*9.48/10000</f>
        <v>2208.84</v>
      </c>
      <c r="C59">
        <f>6090000*4.45/10000</f>
        <v>2710.05</v>
      </c>
      <c r="D59">
        <f t="shared" si="11"/>
        <v>33132.600000000006</v>
      </c>
      <c r="E59">
        <f t="shared" si="12"/>
        <v>5420.1</v>
      </c>
      <c r="G59">
        <f>D59+E59</f>
        <v>38552.700000000004</v>
      </c>
      <c r="H59">
        <f t="shared" si="13"/>
        <v>85.941062493677492</v>
      </c>
      <c r="I59">
        <f t="shared" si="14"/>
        <v>14.058937506322513</v>
      </c>
    </row>
    <row r="61" spans="1:9" x14ac:dyDescent="0.25">
      <c r="A61">
        <v>7500</v>
      </c>
      <c r="D61" t="s">
        <v>46</v>
      </c>
      <c r="E61" t="s">
        <v>30</v>
      </c>
      <c r="G61" t="s">
        <v>47</v>
      </c>
      <c r="H61" t="s">
        <v>48</v>
      </c>
      <c r="I61" t="s">
        <v>49</v>
      </c>
    </row>
    <row r="62" spans="1:9" x14ac:dyDescent="0.25">
      <c r="B62" t="s">
        <v>7</v>
      </c>
      <c r="C62" t="s">
        <v>31</v>
      </c>
      <c r="D62" t="s">
        <v>45</v>
      </c>
      <c r="E62" t="s">
        <v>45</v>
      </c>
    </row>
    <row r="63" spans="1:9" x14ac:dyDescent="0.25">
      <c r="A63" s="6" t="s">
        <v>43</v>
      </c>
      <c r="B63">
        <f>12000*10000/D29</f>
        <v>23.821554897856064</v>
      </c>
      <c r="C63">
        <f>15000*10000/D28</f>
        <v>24.594562365847842</v>
      </c>
      <c r="D63">
        <f>+B63*10*D29/10000</f>
        <v>120000</v>
      </c>
      <c r="E63">
        <f>+C63*2*D28/10000</f>
        <v>30000</v>
      </c>
      <c r="G63">
        <f>D63+E63</f>
        <v>150000</v>
      </c>
      <c r="H63">
        <f>+D63/G63*100</f>
        <v>80</v>
      </c>
      <c r="I63">
        <f>+E63/G63*100</f>
        <v>20</v>
      </c>
    </row>
    <row r="64" spans="1:9" x14ac:dyDescent="0.25">
      <c r="A64" t="s">
        <v>44</v>
      </c>
      <c r="B64">
        <f>6000*10000/D29</f>
        <v>11.910777448928032</v>
      </c>
      <c r="C64">
        <f>7500*10000/D28</f>
        <v>12.297281182923921</v>
      </c>
      <c r="D64">
        <f>+B64*10*D29/10000</f>
        <v>60000</v>
      </c>
      <c r="E64">
        <f>+C64*2*D28/10000</f>
        <v>15000</v>
      </c>
      <c r="G64">
        <f>D64+E64</f>
        <v>75000</v>
      </c>
      <c r="H64">
        <f t="shared" ref="H64:H65" si="15">+D64/G64*100</f>
        <v>80</v>
      </c>
      <c r="I64">
        <f t="shared" ref="I64:I65" si="16">+E64/G64*100</f>
        <v>20</v>
      </c>
    </row>
    <row r="65" spans="1:11" x14ac:dyDescent="0.25">
      <c r="A65" t="s">
        <v>33</v>
      </c>
      <c r="B65">
        <f>600*10000/D29</f>
        <v>1.1910777448928032</v>
      </c>
      <c r="C65">
        <f>750*10000/D28</f>
        <v>1.229728118292392</v>
      </c>
      <c r="D65">
        <f>+B65*10*D29/10000</f>
        <v>6000.0000000000009</v>
      </c>
      <c r="E65">
        <f>+C65*2*D28/10000</f>
        <v>1500</v>
      </c>
      <c r="G65">
        <f>D65+E65</f>
        <v>7500.0000000000009</v>
      </c>
      <c r="H65">
        <f t="shared" si="15"/>
        <v>80</v>
      </c>
      <c r="I65">
        <f t="shared" si="16"/>
        <v>20</v>
      </c>
    </row>
    <row r="69" spans="1:11" x14ac:dyDescent="0.25">
      <c r="B69">
        <f>+A61*0.8</f>
        <v>6000</v>
      </c>
      <c r="C69">
        <f>A61*0.2</f>
        <v>1500</v>
      </c>
    </row>
    <row r="70" spans="1:11" x14ac:dyDescent="0.25">
      <c r="B70">
        <f>+B69/10</f>
        <v>600</v>
      </c>
      <c r="C70">
        <f>+C69/2</f>
        <v>750</v>
      </c>
    </row>
    <row r="71" spans="1:11" x14ac:dyDescent="0.25">
      <c r="F71">
        <f>150000/2</f>
        <v>75000</v>
      </c>
    </row>
    <row r="73" spans="1:11" x14ac:dyDescent="0.25">
      <c r="B73">
        <f>+B63*D29/10000</f>
        <v>12000.000000000002</v>
      </c>
      <c r="C73">
        <f>+C63*D28/10000</f>
        <v>15000</v>
      </c>
    </row>
    <row r="79" spans="1:11" x14ac:dyDescent="0.25">
      <c r="C79">
        <f>23.82*16</f>
        <v>381.12</v>
      </c>
      <c r="D79">
        <f>23.82+11.91+1.19</f>
        <v>36.92</v>
      </c>
      <c r="E79">
        <f>+D79*15</f>
        <v>553.80000000000007</v>
      </c>
      <c r="F79">
        <f>+E79+C79</f>
        <v>934.92000000000007</v>
      </c>
      <c r="H79">
        <f>+F79*D29/(F79+F80)</f>
        <v>2478732.7454257421</v>
      </c>
      <c r="I79">
        <f>+H79*10</f>
        <v>24787327.454257421</v>
      </c>
      <c r="K79">
        <f>+I79/I82</f>
        <v>0.80002786103614476</v>
      </c>
    </row>
    <row r="80" spans="1:11" x14ac:dyDescent="0.25">
      <c r="C80">
        <f>24.59*16</f>
        <v>393.44</v>
      </c>
      <c r="D80">
        <f>12.29+24.59+1.23</f>
        <v>38.109999999999992</v>
      </c>
      <c r="E80">
        <f>+D80*15</f>
        <v>571.64999999999986</v>
      </c>
      <c r="F80">
        <f>+C80+E80</f>
        <v>965.08999999999992</v>
      </c>
      <c r="H80">
        <f>+F80*D28/(F80+F79)</f>
        <v>3097876.4188322453</v>
      </c>
      <c r="I80">
        <f>+H80*2</f>
        <v>6195752.8376644906</v>
      </c>
    </row>
    <row r="81" spans="1:13" x14ac:dyDescent="0.25">
      <c r="C81">
        <f>SUM(C79:C80)</f>
        <v>774.56</v>
      </c>
    </row>
    <row r="82" spans="1:13" x14ac:dyDescent="0.25">
      <c r="E82" t="s">
        <v>54</v>
      </c>
      <c r="G82" t="s">
        <v>55</v>
      </c>
      <c r="H82" t="s">
        <v>56</v>
      </c>
      <c r="I82">
        <f>SUM(I79:I80)</f>
        <v>30983080.291921914</v>
      </c>
    </row>
    <row r="83" spans="1:13" x14ac:dyDescent="0.25">
      <c r="A83" t="s">
        <v>50</v>
      </c>
      <c r="B83" t="s">
        <v>51</v>
      </c>
      <c r="C83" t="s">
        <v>52</v>
      </c>
      <c r="D83" t="s">
        <v>53</v>
      </c>
      <c r="E83" t="s">
        <v>52</v>
      </c>
      <c r="F83" t="s">
        <v>53</v>
      </c>
      <c r="K83" t="s">
        <v>57</v>
      </c>
    </row>
    <row r="84" spans="1:13" x14ac:dyDescent="0.25">
      <c r="A84">
        <f>23.82+23.82</f>
        <v>47.64</v>
      </c>
      <c r="B84">
        <f>24.59+24.59</f>
        <v>49.18</v>
      </c>
      <c r="C84">
        <f>+A84*D29/10000</f>
        <v>23998.433454545455</v>
      </c>
      <c r="D84">
        <f>+B84*D28/10000</f>
        <v>29994.434909090905</v>
      </c>
      <c r="E84">
        <f>+C84*10</f>
        <v>239984.33454545453</v>
      </c>
      <c r="F84">
        <f>+D84*2</f>
        <v>59988.869818181811</v>
      </c>
      <c r="G84">
        <f>+E84/(E84+F84)*100</f>
        <v>80.001923856685039</v>
      </c>
      <c r="H84">
        <f>+F84/(F84+E84)*100</f>
        <v>19.998076143314968</v>
      </c>
      <c r="K84">
        <f>C84+D84</f>
        <v>53992.868363636357</v>
      </c>
      <c r="L84">
        <f>+K84*10000/E95</f>
        <v>96.96678399999999</v>
      </c>
      <c r="M84">
        <f>49.18+47.64</f>
        <v>96.82</v>
      </c>
    </row>
    <row r="85" spans="1:13" x14ac:dyDescent="0.25">
      <c r="A85">
        <f>23.82+11.91</f>
        <v>35.730000000000004</v>
      </c>
      <c r="B85">
        <f>12.29+24.59</f>
        <v>36.879999999999995</v>
      </c>
      <c r="C85">
        <f>+A85*D29/10000</f>
        <v>17998.825090909089</v>
      </c>
      <c r="D85">
        <f>+B85*D28/10000</f>
        <v>22492.776727272725</v>
      </c>
      <c r="E85">
        <f t="shared" ref="E85:E86" si="17">+C85*10</f>
        <v>179988.25090909089</v>
      </c>
      <c r="F85">
        <f t="shared" ref="F85:F86" si="18">+D85*2</f>
        <v>44985.55345454545</v>
      </c>
      <c r="G85">
        <f t="shared" ref="G85:G86" si="19">+E85/(E85+F85)*100</f>
        <v>80.004092662347006</v>
      </c>
      <c r="H85">
        <f t="shared" ref="H85:H86" si="20">+F85/(F85+E85)*100</f>
        <v>19.995907337652994</v>
      </c>
      <c r="K85">
        <f t="shared" ref="K85:K86" si="21">C85+D85</f>
        <v>40491.601818181814</v>
      </c>
      <c r="M85">
        <f>36.88+35.73</f>
        <v>72.61</v>
      </c>
    </row>
    <row r="86" spans="1:13" x14ac:dyDescent="0.25">
      <c r="A86">
        <f>23.82+1.19</f>
        <v>25.01</v>
      </c>
      <c r="B86">
        <f>1.23+24.59</f>
        <v>25.82</v>
      </c>
      <c r="C86">
        <f>+A86*D29/10000</f>
        <v>12598.673818181816</v>
      </c>
      <c r="D86">
        <f>+B86*D28/10000</f>
        <v>15747.383272727271</v>
      </c>
      <c r="E86">
        <f t="shared" si="17"/>
        <v>125986.73818181816</v>
      </c>
      <c r="F86">
        <f t="shared" si="18"/>
        <v>31494.766545454542</v>
      </c>
      <c r="G86">
        <f t="shared" si="19"/>
        <v>80.000974336638876</v>
      </c>
      <c r="H86">
        <f t="shared" si="20"/>
        <v>19.999025663361135</v>
      </c>
      <c r="K86">
        <f t="shared" si="21"/>
        <v>28346.057090909089</v>
      </c>
      <c r="M86">
        <f>25.82+25.01</f>
        <v>50.83</v>
      </c>
    </row>
    <row r="89" spans="1:13" x14ac:dyDescent="0.25">
      <c r="D89">
        <f>+C84+D84</f>
        <v>53992.868363636357</v>
      </c>
    </row>
    <row r="95" spans="1:13" x14ac:dyDescent="0.25">
      <c r="E95">
        <f>AVERAGE(D28:D29)</f>
        <v>5568181.8181818184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B12" sqref="B12"/>
    </sheetView>
  </sheetViews>
  <sheetFormatPr defaultRowHeight="15" x14ac:dyDescent="0.25"/>
  <cols>
    <col min="1" max="1" width="12" bestFit="1" customWidth="1"/>
    <col min="3" max="3" width="10" bestFit="1" customWidth="1"/>
    <col min="4" max="4" width="12" bestFit="1" customWidth="1"/>
    <col min="5" max="5" width="11" bestFit="1" customWidth="1"/>
    <col min="6" max="6" width="12" bestFit="1" customWidth="1"/>
    <col min="7" max="7" width="10" bestFit="1" customWidth="1"/>
    <col min="9" max="9" width="10" bestFit="1" customWidth="1"/>
    <col min="32" max="32" width="15.28515625" customWidth="1"/>
  </cols>
  <sheetData>
    <row r="1" spans="1:19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9" x14ac:dyDescent="0.25">
      <c r="A2" s="5"/>
      <c r="B2" t="s">
        <v>20</v>
      </c>
      <c r="C2" t="s">
        <v>5</v>
      </c>
      <c r="F2" s="5"/>
      <c r="G2" s="2">
        <v>44385</v>
      </c>
      <c r="H2" s="5"/>
      <c r="I2" t="s">
        <v>5</v>
      </c>
      <c r="L2" t="s">
        <v>9</v>
      </c>
      <c r="M2" t="s">
        <v>60</v>
      </c>
    </row>
    <row r="3" spans="1:19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/>
    </row>
    <row r="4" spans="1:19" x14ac:dyDescent="0.25">
      <c r="A4" s="2">
        <v>44424</v>
      </c>
      <c r="B4">
        <v>1</v>
      </c>
      <c r="C4" s="1">
        <v>70</v>
      </c>
      <c r="D4">
        <v>33</v>
      </c>
      <c r="E4">
        <f>+C4/D4*1000</f>
        <v>2121.212121212121</v>
      </c>
      <c r="G4" s="2">
        <v>44424</v>
      </c>
      <c r="H4">
        <v>1</v>
      </c>
      <c r="I4">
        <v>97</v>
      </c>
      <c r="J4">
        <v>50</v>
      </c>
      <c r="K4">
        <f>+I4/J4*1000</f>
        <v>1940</v>
      </c>
      <c r="L4">
        <f>+E4-K4</f>
        <v>181.21212121212102</v>
      </c>
      <c r="M4">
        <f t="shared" ref="M4:M6" si="0">+L4/E4*100</f>
        <v>8.5428571428571338</v>
      </c>
      <c r="P4">
        <f>+K4+31000</f>
        <v>32940</v>
      </c>
      <c r="Q4">
        <f>P4-Q6</f>
        <v>16900</v>
      </c>
      <c r="R4">
        <f>+Q4+31000</f>
        <v>47900</v>
      </c>
      <c r="S4">
        <f>+R4-R6</f>
        <v>47900</v>
      </c>
    </row>
    <row r="5" spans="1:19" x14ac:dyDescent="0.25">
      <c r="A5" s="2">
        <v>44424</v>
      </c>
      <c r="B5">
        <v>2</v>
      </c>
      <c r="C5">
        <v>82</v>
      </c>
      <c r="D5">
        <v>33</v>
      </c>
      <c r="E5">
        <f t="shared" ref="E5:E13" si="1">+C5/33*1000</f>
        <v>2484.848484848485</v>
      </c>
      <c r="G5" s="2">
        <v>44424</v>
      </c>
      <c r="H5">
        <v>2</v>
      </c>
      <c r="I5">
        <v>79</v>
      </c>
      <c r="J5">
        <v>33</v>
      </c>
      <c r="K5">
        <f t="shared" ref="K5:K13" si="2">+I5/J5*1000</f>
        <v>2393.939393939394</v>
      </c>
      <c r="L5">
        <f t="shared" ref="L5:L13" si="3">+E5-K5</f>
        <v>90.909090909090992</v>
      </c>
      <c r="M5">
        <f t="shared" si="0"/>
        <v>3.6585365853658569</v>
      </c>
      <c r="P5">
        <f t="shared" ref="P5:P8" si="4">+K5+31000</f>
        <v>33393.939393939392</v>
      </c>
    </row>
    <row r="6" spans="1:19" x14ac:dyDescent="0.25">
      <c r="A6" s="2">
        <v>44424</v>
      </c>
      <c r="B6">
        <v>3</v>
      </c>
      <c r="C6">
        <v>73</v>
      </c>
      <c r="D6">
        <v>33</v>
      </c>
      <c r="E6">
        <f t="shared" si="1"/>
        <v>2212.121212121212</v>
      </c>
      <c r="G6" s="2">
        <v>44424</v>
      </c>
      <c r="H6">
        <v>3</v>
      </c>
      <c r="I6">
        <v>64</v>
      </c>
      <c r="J6">
        <v>33</v>
      </c>
      <c r="K6">
        <f t="shared" si="2"/>
        <v>1939.3939393939395</v>
      </c>
      <c r="L6">
        <f t="shared" si="3"/>
        <v>272.72727272727252</v>
      </c>
      <c r="M6">
        <f t="shared" si="0"/>
        <v>12.328767123287662</v>
      </c>
      <c r="P6">
        <f t="shared" si="4"/>
        <v>32939.393939393936</v>
      </c>
      <c r="Q6">
        <f>2005*8</f>
        <v>16040</v>
      </c>
      <c r="R6">
        <f>+N4*17</f>
        <v>0</v>
      </c>
    </row>
    <row r="7" spans="1:19" x14ac:dyDescent="0.25">
      <c r="A7" s="2">
        <v>44424</v>
      </c>
      <c r="B7">
        <v>4</v>
      </c>
      <c r="C7">
        <v>79</v>
      </c>
      <c r="D7">
        <v>33</v>
      </c>
      <c r="E7">
        <f t="shared" si="1"/>
        <v>2393.939393939394</v>
      </c>
      <c r="G7" s="2">
        <v>44424</v>
      </c>
      <c r="H7">
        <v>4</v>
      </c>
      <c r="I7">
        <v>69</v>
      </c>
      <c r="J7">
        <v>33</v>
      </c>
      <c r="K7">
        <f t="shared" si="2"/>
        <v>2090.909090909091</v>
      </c>
      <c r="L7">
        <f>+E7-K7</f>
        <v>303.030303030303</v>
      </c>
      <c r="M7">
        <f>+L7/E7*100</f>
        <v>12.658227848101264</v>
      </c>
      <c r="P7">
        <f t="shared" si="4"/>
        <v>33090.909090909088</v>
      </c>
    </row>
    <row r="8" spans="1:19" x14ac:dyDescent="0.25">
      <c r="A8" s="2">
        <v>44424</v>
      </c>
      <c r="B8">
        <v>5</v>
      </c>
      <c r="C8">
        <v>83</v>
      </c>
      <c r="D8">
        <v>33</v>
      </c>
      <c r="E8">
        <f t="shared" si="1"/>
        <v>2515.151515151515</v>
      </c>
      <c r="G8" s="2">
        <v>44424</v>
      </c>
      <c r="H8">
        <v>5</v>
      </c>
      <c r="I8">
        <v>77</v>
      </c>
      <c r="J8">
        <v>33</v>
      </c>
      <c r="K8">
        <f t="shared" si="2"/>
        <v>2333.3333333333335</v>
      </c>
      <c r="L8">
        <f t="shared" si="3"/>
        <v>181.81818181818153</v>
      </c>
      <c r="M8">
        <f t="shared" ref="M8:M13" si="5">+L8/E8*100</f>
        <v>7.228915662650591</v>
      </c>
      <c r="P8">
        <f t="shared" si="4"/>
        <v>33333.333333333336</v>
      </c>
    </row>
    <row r="9" spans="1:19" x14ac:dyDescent="0.25">
      <c r="A9" s="2">
        <v>44424</v>
      </c>
      <c r="B9">
        <v>6</v>
      </c>
      <c r="C9">
        <v>114</v>
      </c>
      <c r="D9">
        <v>33</v>
      </c>
      <c r="E9">
        <f t="shared" si="1"/>
        <v>3454.5454545454545</v>
      </c>
      <c r="G9" s="2">
        <v>44424</v>
      </c>
      <c r="H9">
        <v>6</v>
      </c>
      <c r="I9">
        <v>88</v>
      </c>
      <c r="J9">
        <v>33</v>
      </c>
      <c r="K9">
        <f t="shared" si="2"/>
        <v>2666.6666666666665</v>
      </c>
      <c r="L9">
        <f t="shared" si="3"/>
        <v>787.87878787878799</v>
      </c>
      <c r="M9">
        <f t="shared" si="5"/>
        <v>22.807017543859654</v>
      </c>
    </row>
    <row r="10" spans="1:19" x14ac:dyDescent="0.25">
      <c r="A10" s="2">
        <v>44424</v>
      </c>
      <c r="B10">
        <v>7</v>
      </c>
      <c r="C10">
        <v>75</v>
      </c>
      <c r="D10">
        <v>33</v>
      </c>
      <c r="E10">
        <f t="shared" si="1"/>
        <v>2272.727272727273</v>
      </c>
      <c r="G10" s="2">
        <v>44424</v>
      </c>
      <c r="H10">
        <v>7</v>
      </c>
      <c r="I10">
        <v>74</v>
      </c>
      <c r="J10">
        <v>33</v>
      </c>
      <c r="K10">
        <f t="shared" si="2"/>
        <v>2242.424242424242</v>
      </c>
      <c r="L10">
        <f t="shared" si="3"/>
        <v>30.303030303030937</v>
      </c>
      <c r="M10">
        <f t="shared" si="5"/>
        <v>1.333333333333361</v>
      </c>
    </row>
    <row r="11" spans="1:19" x14ac:dyDescent="0.25">
      <c r="A11" s="2">
        <v>44424</v>
      </c>
      <c r="B11">
        <v>8</v>
      </c>
      <c r="C11">
        <v>88</v>
      </c>
      <c r="D11">
        <v>33</v>
      </c>
      <c r="E11">
        <f t="shared" si="1"/>
        <v>2666.6666666666665</v>
      </c>
      <c r="G11" s="2">
        <v>44424</v>
      </c>
      <c r="H11">
        <v>8</v>
      </c>
      <c r="I11">
        <v>81</v>
      </c>
      <c r="J11">
        <v>33</v>
      </c>
      <c r="K11">
        <f t="shared" si="2"/>
        <v>2454.5454545454545</v>
      </c>
      <c r="L11">
        <f t="shared" si="3"/>
        <v>212.12121212121201</v>
      </c>
      <c r="M11">
        <f t="shared" si="5"/>
        <v>7.9545454545454506</v>
      </c>
    </row>
    <row r="12" spans="1:19" x14ac:dyDescent="0.25">
      <c r="A12" s="2">
        <v>44424</v>
      </c>
      <c r="B12">
        <v>9</v>
      </c>
      <c r="C12">
        <v>107</v>
      </c>
      <c r="D12">
        <v>33</v>
      </c>
      <c r="E12">
        <f t="shared" si="1"/>
        <v>3242.424242424242</v>
      </c>
      <c r="G12" s="2">
        <v>44424</v>
      </c>
      <c r="H12">
        <v>9</v>
      </c>
      <c r="I12">
        <v>98</v>
      </c>
      <c r="J12">
        <v>33</v>
      </c>
      <c r="K12">
        <f>+I12/J12*1000</f>
        <v>2969.6969696969695</v>
      </c>
      <c r="L12">
        <f t="shared" si="3"/>
        <v>272.72727272727252</v>
      </c>
      <c r="M12">
        <f t="shared" si="5"/>
        <v>8.4112149532710223</v>
      </c>
    </row>
    <row r="13" spans="1:19" x14ac:dyDescent="0.25">
      <c r="A13" s="2">
        <v>44424</v>
      </c>
      <c r="B13">
        <v>10</v>
      </c>
      <c r="C13">
        <v>106</v>
      </c>
      <c r="D13">
        <v>33</v>
      </c>
      <c r="E13">
        <f t="shared" si="1"/>
        <v>3212.121212121212</v>
      </c>
      <c r="G13" s="2">
        <v>44424</v>
      </c>
      <c r="H13">
        <v>10</v>
      </c>
      <c r="I13">
        <v>106</v>
      </c>
      <c r="J13">
        <v>33</v>
      </c>
      <c r="K13">
        <f t="shared" si="2"/>
        <v>3212.121212121212</v>
      </c>
      <c r="L13">
        <f t="shared" si="3"/>
        <v>0</v>
      </c>
      <c r="M13">
        <f t="shared" si="5"/>
        <v>0</v>
      </c>
    </row>
    <row r="14" spans="1:19" x14ac:dyDescent="0.25">
      <c r="A14" s="2"/>
      <c r="G14" s="2"/>
    </row>
    <row r="15" spans="1:19" x14ac:dyDescent="0.25">
      <c r="A15" s="2"/>
      <c r="G15" s="2"/>
    </row>
    <row r="16" spans="1:19" x14ac:dyDescent="0.25">
      <c r="A16" s="2"/>
      <c r="G16" s="2"/>
    </row>
    <row r="17" spans="1:8" x14ac:dyDescent="0.25">
      <c r="A17" s="2"/>
      <c r="G17" s="2"/>
    </row>
    <row r="18" spans="1:8" x14ac:dyDescent="0.25">
      <c r="A18" s="2"/>
      <c r="G18" s="2"/>
    </row>
    <row r="20" spans="1:8" x14ac:dyDescent="0.25">
      <c r="B20" s="7"/>
    </row>
    <row r="21" spans="1:8" x14ac:dyDescent="0.25">
      <c r="A21" s="6"/>
      <c r="B21" s="7"/>
    </row>
    <row r="25" spans="1:8" x14ac:dyDescent="0.25">
      <c r="H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K10" sqref="K10"/>
    </sheetView>
  </sheetViews>
  <sheetFormatPr defaultRowHeight="15" x14ac:dyDescent="0.25"/>
  <cols>
    <col min="1" max="1" width="12" bestFit="1" customWidth="1"/>
    <col min="3" max="3" width="10" bestFit="1" customWidth="1"/>
    <col min="4" max="4" width="12" bestFit="1" customWidth="1"/>
    <col min="5" max="5" width="11" bestFit="1" customWidth="1"/>
    <col min="6" max="6" width="12" bestFit="1" customWidth="1"/>
    <col min="7" max="7" width="10" bestFit="1" customWidth="1"/>
    <col min="9" max="9" width="10" bestFit="1" customWidth="1"/>
    <col min="32" max="32" width="15.28515625" customWidth="1"/>
  </cols>
  <sheetData>
    <row r="1" spans="1:19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9" x14ac:dyDescent="0.25">
      <c r="A2" s="5"/>
      <c r="B2" t="s">
        <v>20</v>
      </c>
      <c r="C2" t="s">
        <v>5</v>
      </c>
      <c r="F2" s="5"/>
      <c r="G2" s="2">
        <v>44385</v>
      </c>
      <c r="H2" s="5"/>
      <c r="I2" t="s">
        <v>5</v>
      </c>
      <c r="L2" t="s">
        <v>9</v>
      </c>
      <c r="M2" t="s">
        <v>60</v>
      </c>
    </row>
    <row r="3" spans="1:19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/>
    </row>
    <row r="4" spans="1:19" x14ac:dyDescent="0.25">
      <c r="A4" s="2">
        <v>44424</v>
      </c>
      <c r="B4">
        <v>1</v>
      </c>
      <c r="C4" s="1">
        <v>143</v>
      </c>
      <c r="D4">
        <v>33</v>
      </c>
      <c r="E4">
        <f>+C4/D4*1000</f>
        <v>4333.333333333333</v>
      </c>
      <c r="G4" s="2">
        <v>44424</v>
      </c>
      <c r="H4">
        <v>1</v>
      </c>
      <c r="I4">
        <v>135</v>
      </c>
      <c r="J4">
        <v>33</v>
      </c>
      <c r="K4">
        <f>+I4/J4*1000</f>
        <v>4090.909090909091</v>
      </c>
      <c r="L4">
        <f>+E4-K4</f>
        <v>242.42424242424204</v>
      </c>
      <c r="M4">
        <f t="shared" ref="M4:M6" si="0">+L4/E4*100</f>
        <v>5.5944055944055862</v>
      </c>
      <c r="P4">
        <f>+K4+31000</f>
        <v>35090.909090909088</v>
      </c>
      <c r="Q4">
        <f>P4-Q6</f>
        <v>19050.909090909088</v>
      </c>
      <c r="R4">
        <f>+Q4+31000</f>
        <v>50050.909090909088</v>
      </c>
      <c r="S4">
        <f>+R4-R6</f>
        <v>50050.909090909088</v>
      </c>
    </row>
    <row r="5" spans="1:19" x14ac:dyDescent="0.25">
      <c r="A5" s="2">
        <v>44424</v>
      </c>
      <c r="B5">
        <v>2</v>
      </c>
      <c r="C5">
        <v>175</v>
      </c>
      <c r="D5">
        <v>33</v>
      </c>
      <c r="E5">
        <f t="shared" ref="E5:E13" si="1">+C5/33*1000</f>
        <v>5303.030303030303</v>
      </c>
      <c r="G5" s="2">
        <v>44424</v>
      </c>
      <c r="H5">
        <v>2</v>
      </c>
      <c r="I5">
        <v>136</v>
      </c>
      <c r="J5">
        <v>33</v>
      </c>
      <c r="K5">
        <f t="shared" ref="K5:K13" si="2">+I5/J5*1000</f>
        <v>4121.212121212121</v>
      </c>
      <c r="L5">
        <f t="shared" ref="L5:L13" si="3">+E5-K5</f>
        <v>1181.818181818182</v>
      </c>
      <c r="M5">
        <f t="shared" si="0"/>
        <v>22.285714285714288</v>
      </c>
      <c r="P5">
        <f t="shared" ref="P5:P8" si="4">+K5+31000</f>
        <v>35121.21212121212</v>
      </c>
    </row>
    <row r="6" spans="1:19" x14ac:dyDescent="0.25">
      <c r="A6" s="2">
        <v>44424</v>
      </c>
      <c r="B6">
        <v>3</v>
      </c>
      <c r="C6">
        <v>243</v>
      </c>
      <c r="D6">
        <v>33</v>
      </c>
      <c r="E6">
        <f t="shared" si="1"/>
        <v>7363.6363636363631</v>
      </c>
      <c r="G6" s="2">
        <v>44424</v>
      </c>
      <c r="H6">
        <v>3</v>
      </c>
      <c r="I6">
        <v>225</v>
      </c>
      <c r="J6">
        <v>33</v>
      </c>
      <c r="K6">
        <f t="shared" si="2"/>
        <v>6818.181818181818</v>
      </c>
      <c r="L6">
        <f t="shared" si="3"/>
        <v>545.45454545454504</v>
      </c>
      <c r="M6">
        <f t="shared" si="0"/>
        <v>7.407407407407403</v>
      </c>
      <c r="P6">
        <f t="shared" si="4"/>
        <v>37818.181818181816</v>
      </c>
      <c r="Q6">
        <f>2005*8</f>
        <v>16040</v>
      </c>
      <c r="R6">
        <f>+N4*17</f>
        <v>0</v>
      </c>
    </row>
    <row r="7" spans="1:19" x14ac:dyDescent="0.25">
      <c r="A7" s="2">
        <v>44424</v>
      </c>
      <c r="B7">
        <v>4</v>
      </c>
      <c r="C7">
        <v>231</v>
      </c>
      <c r="D7">
        <v>33</v>
      </c>
      <c r="E7">
        <f t="shared" si="1"/>
        <v>7000</v>
      </c>
      <c r="G7" s="2">
        <v>44424</v>
      </c>
      <c r="H7">
        <v>4</v>
      </c>
      <c r="I7">
        <v>218</v>
      </c>
      <c r="J7">
        <v>33</v>
      </c>
      <c r="K7">
        <f t="shared" si="2"/>
        <v>6606.060606060606</v>
      </c>
      <c r="L7">
        <f>+E7-K7</f>
        <v>393.93939393939399</v>
      </c>
      <c r="M7">
        <f>+L7/E7*100</f>
        <v>5.6277056277056285</v>
      </c>
      <c r="P7">
        <f t="shared" si="4"/>
        <v>37606.060606060608</v>
      </c>
    </row>
    <row r="8" spans="1:19" x14ac:dyDescent="0.25">
      <c r="A8" s="2">
        <v>44424</v>
      </c>
      <c r="B8">
        <v>5</v>
      </c>
      <c r="C8">
        <v>288</v>
      </c>
      <c r="D8">
        <v>33</v>
      </c>
      <c r="E8">
        <f t="shared" si="1"/>
        <v>8727.2727272727261</v>
      </c>
      <c r="G8" s="2">
        <v>44424</v>
      </c>
      <c r="H8">
        <v>5</v>
      </c>
      <c r="I8">
        <v>269</v>
      </c>
      <c r="J8">
        <v>33</v>
      </c>
      <c r="K8">
        <f t="shared" si="2"/>
        <v>8151.515151515152</v>
      </c>
      <c r="L8">
        <f t="shared" si="3"/>
        <v>575.75757575757416</v>
      </c>
      <c r="M8">
        <f t="shared" ref="M8:M13" si="5">+L8/E8*100</f>
        <v>6.5972222222222046</v>
      </c>
      <c r="P8">
        <f t="shared" si="4"/>
        <v>39151.515151515152</v>
      </c>
    </row>
    <row r="9" spans="1:19" x14ac:dyDescent="0.25">
      <c r="A9" s="2">
        <v>44424</v>
      </c>
      <c r="B9">
        <v>6</v>
      </c>
      <c r="C9">
        <v>258</v>
      </c>
      <c r="D9">
        <v>33</v>
      </c>
      <c r="E9">
        <f t="shared" si="1"/>
        <v>7818.181818181818</v>
      </c>
      <c r="G9" s="2">
        <v>44424</v>
      </c>
      <c r="H9">
        <v>6</v>
      </c>
      <c r="I9">
        <v>246</v>
      </c>
      <c r="J9">
        <v>33</v>
      </c>
      <c r="K9">
        <f t="shared" si="2"/>
        <v>7454.545454545454</v>
      </c>
      <c r="L9">
        <f t="shared" si="3"/>
        <v>363.63636363636397</v>
      </c>
      <c r="M9">
        <f t="shared" si="5"/>
        <v>4.6511627906976782</v>
      </c>
    </row>
    <row r="10" spans="1:19" x14ac:dyDescent="0.25">
      <c r="A10" s="2">
        <v>44424</v>
      </c>
      <c r="B10">
        <v>7</v>
      </c>
      <c r="C10">
        <v>257</v>
      </c>
      <c r="D10">
        <v>33</v>
      </c>
      <c r="E10">
        <f t="shared" si="1"/>
        <v>7787.878787878788</v>
      </c>
      <c r="G10" s="2">
        <v>44424</v>
      </c>
      <c r="H10">
        <v>7</v>
      </c>
      <c r="I10">
        <v>201</v>
      </c>
      <c r="J10">
        <v>33</v>
      </c>
      <c r="K10">
        <f t="shared" si="2"/>
        <v>6090.909090909091</v>
      </c>
      <c r="L10">
        <f t="shared" si="3"/>
        <v>1696.969696969697</v>
      </c>
      <c r="M10">
        <f t="shared" si="5"/>
        <v>21.789883268482491</v>
      </c>
    </row>
    <row r="11" spans="1:19" x14ac:dyDescent="0.25">
      <c r="A11" s="2">
        <v>44424</v>
      </c>
      <c r="B11">
        <v>8</v>
      </c>
      <c r="C11">
        <v>221</v>
      </c>
      <c r="D11">
        <v>33</v>
      </c>
      <c r="E11">
        <f t="shared" si="1"/>
        <v>6696.969696969697</v>
      </c>
      <c r="G11" s="2">
        <v>44424</v>
      </c>
      <c r="H11">
        <v>8</v>
      </c>
      <c r="I11">
        <v>215</v>
      </c>
      <c r="J11">
        <v>33</v>
      </c>
      <c r="K11">
        <f t="shared" si="2"/>
        <v>6515.1515151515159</v>
      </c>
      <c r="L11">
        <f t="shared" si="3"/>
        <v>181.81818181818107</v>
      </c>
      <c r="M11">
        <f t="shared" si="5"/>
        <v>2.7149321266968216</v>
      </c>
    </row>
    <row r="12" spans="1:19" x14ac:dyDescent="0.25">
      <c r="A12" s="2">
        <v>44424</v>
      </c>
      <c r="B12">
        <v>9</v>
      </c>
      <c r="C12">
        <v>282</v>
      </c>
      <c r="D12">
        <v>33</v>
      </c>
      <c r="E12">
        <f t="shared" si="1"/>
        <v>8545.4545454545441</v>
      </c>
      <c r="G12" s="2">
        <v>44424</v>
      </c>
      <c r="H12">
        <v>9</v>
      </c>
      <c r="I12">
        <v>282</v>
      </c>
      <c r="J12">
        <v>33</v>
      </c>
      <c r="K12">
        <f>+I12/J12*1000</f>
        <v>8545.4545454545441</v>
      </c>
      <c r="L12">
        <f t="shared" si="3"/>
        <v>0</v>
      </c>
      <c r="M12">
        <f t="shared" si="5"/>
        <v>0</v>
      </c>
    </row>
    <row r="13" spans="1:19" x14ac:dyDescent="0.25">
      <c r="A13" s="2">
        <v>44424</v>
      </c>
      <c r="B13">
        <v>10</v>
      </c>
      <c r="C13">
        <v>262</v>
      </c>
      <c r="D13">
        <v>33</v>
      </c>
      <c r="E13">
        <f t="shared" si="1"/>
        <v>7939.393939393939</v>
      </c>
      <c r="G13" s="2">
        <v>44424</v>
      </c>
      <c r="H13">
        <v>10</v>
      </c>
      <c r="I13">
        <v>237</v>
      </c>
      <c r="J13">
        <v>33</v>
      </c>
      <c r="K13">
        <f t="shared" si="2"/>
        <v>7181.818181818182</v>
      </c>
      <c r="L13">
        <f t="shared" si="3"/>
        <v>757.57575757575705</v>
      </c>
      <c r="M13">
        <f t="shared" si="5"/>
        <v>9.5419847328244209</v>
      </c>
    </row>
    <row r="14" spans="1:19" x14ac:dyDescent="0.25">
      <c r="A14" s="2"/>
      <c r="G14" s="2"/>
    </row>
    <row r="15" spans="1:19" x14ac:dyDescent="0.25">
      <c r="A15" s="2"/>
      <c r="G15" s="2"/>
    </row>
    <row r="16" spans="1:19" x14ac:dyDescent="0.25">
      <c r="A16" s="2"/>
      <c r="G16" s="2"/>
    </row>
    <row r="17" spans="1:8" x14ac:dyDescent="0.25">
      <c r="A17" s="2"/>
      <c r="G17" s="2"/>
    </row>
    <row r="18" spans="1:8" x14ac:dyDescent="0.25">
      <c r="A18" s="2"/>
      <c r="G18" s="2"/>
    </row>
    <row r="20" spans="1:8" x14ac:dyDescent="0.25">
      <c r="B20" s="7"/>
    </row>
    <row r="21" spans="1:8" x14ac:dyDescent="0.25">
      <c r="A21" s="6"/>
      <c r="B21" s="7"/>
    </row>
    <row r="25" spans="1:8" x14ac:dyDescent="0.25">
      <c r="H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H1" workbookViewId="0">
      <selection activeCell="M9" sqref="M9"/>
    </sheetView>
  </sheetViews>
  <sheetFormatPr defaultRowHeight="15" x14ac:dyDescent="0.25"/>
  <cols>
    <col min="1" max="1" width="12" bestFit="1" customWidth="1"/>
    <col min="2" max="2" width="16.28515625" customWidth="1"/>
    <col min="3" max="3" width="10" bestFit="1" customWidth="1"/>
    <col min="4" max="4" width="12" bestFit="1" customWidth="1"/>
    <col min="5" max="5" width="11" bestFit="1" customWidth="1"/>
    <col min="6" max="6" width="12" bestFit="1" customWidth="1"/>
    <col min="7" max="7" width="10" bestFit="1" customWidth="1"/>
    <col min="8" max="8" width="23.42578125" customWidth="1"/>
    <col min="9" max="9" width="10" bestFit="1" customWidth="1"/>
    <col min="12" max="12" width="13.42578125" customWidth="1"/>
    <col min="13" max="13" width="19.85546875" customWidth="1"/>
    <col min="15" max="15" width="37.28515625" customWidth="1"/>
    <col min="32" max="32" width="15.28515625" customWidth="1"/>
  </cols>
  <sheetData>
    <row r="1" spans="1:19" x14ac:dyDescent="0.25">
      <c r="B1" t="s">
        <v>63</v>
      </c>
      <c r="C1" t="s">
        <v>4</v>
      </c>
      <c r="H1" s="4" t="s">
        <v>63</v>
      </c>
      <c r="I1" t="s">
        <v>4</v>
      </c>
      <c r="M1" s="2"/>
    </row>
    <row r="2" spans="1:19" x14ac:dyDescent="0.25">
      <c r="A2" s="5"/>
      <c r="B2" t="s">
        <v>61</v>
      </c>
      <c r="C2" t="s">
        <v>5</v>
      </c>
      <c r="F2" s="5"/>
      <c r="G2" s="2"/>
      <c r="H2" s="5" t="s">
        <v>62</v>
      </c>
      <c r="I2" t="s">
        <v>5</v>
      </c>
      <c r="L2" t="s">
        <v>9</v>
      </c>
      <c r="M2" t="s">
        <v>60</v>
      </c>
    </row>
    <row r="3" spans="1:19" x14ac:dyDescent="0.25">
      <c r="A3" t="s">
        <v>2</v>
      </c>
      <c r="C3" t="s">
        <v>0</v>
      </c>
      <c r="D3" t="s">
        <v>1</v>
      </c>
      <c r="E3" t="s">
        <v>3</v>
      </c>
      <c r="F3" s="6"/>
      <c r="G3" s="5"/>
      <c r="I3" t="s">
        <v>0</v>
      </c>
      <c r="J3" t="s">
        <v>1</v>
      </c>
      <c r="K3" t="s">
        <v>6</v>
      </c>
      <c r="L3" t="s">
        <v>10</v>
      </c>
      <c r="M3" s="5"/>
    </row>
    <row r="4" spans="1:19" x14ac:dyDescent="0.25">
      <c r="A4" s="2">
        <v>44432</v>
      </c>
      <c r="B4" t="s">
        <v>64</v>
      </c>
      <c r="C4">
        <v>138</v>
      </c>
      <c r="D4">
        <v>33</v>
      </c>
      <c r="E4">
        <f>+C4/D4*1000</f>
        <v>4181.818181818182</v>
      </c>
      <c r="G4" s="2">
        <v>44432</v>
      </c>
      <c r="H4" t="s">
        <v>74</v>
      </c>
      <c r="I4">
        <v>120</v>
      </c>
      <c r="J4">
        <v>33</v>
      </c>
      <c r="K4">
        <f>+I4/J4*1000</f>
        <v>3636.363636363636</v>
      </c>
      <c r="L4">
        <f>+E4-K4</f>
        <v>545.45454545454595</v>
      </c>
      <c r="M4">
        <f t="shared" ref="M4:M6" si="0">+L4/E4*100</f>
        <v>13.043478260869575</v>
      </c>
      <c r="N4" t="s">
        <v>84</v>
      </c>
      <c r="P4">
        <f>+K4+31000</f>
        <v>34636.363636363632</v>
      </c>
      <c r="Q4">
        <f>P4-Q6</f>
        <v>18596.363636363632</v>
      </c>
      <c r="R4">
        <f>+Q4+31000</f>
        <v>49596.363636363632</v>
      </c>
      <c r="S4" t="e">
        <f>+R4-R6</f>
        <v>#VALUE!</v>
      </c>
    </row>
    <row r="5" spans="1:19" x14ac:dyDescent="0.25">
      <c r="A5" s="2">
        <v>44432</v>
      </c>
      <c r="B5" t="s">
        <v>65</v>
      </c>
      <c r="C5">
        <v>166</v>
      </c>
      <c r="D5">
        <v>33</v>
      </c>
      <c r="E5">
        <f t="shared" ref="E5:E13" si="1">+C5/D5*1000</f>
        <v>5030.30303030303</v>
      </c>
      <c r="G5" s="2">
        <v>44432</v>
      </c>
      <c r="H5" t="s">
        <v>75</v>
      </c>
      <c r="I5">
        <v>117</v>
      </c>
      <c r="J5">
        <v>33</v>
      </c>
      <c r="K5">
        <f t="shared" ref="K5:K13" si="2">+I5/J5*1000</f>
        <v>3545.4545454545455</v>
      </c>
      <c r="L5">
        <f t="shared" ref="L5:L13" si="3">+E5-K5</f>
        <v>1484.8484848484845</v>
      </c>
      <c r="M5">
        <f t="shared" si="0"/>
        <v>29.518072289156621</v>
      </c>
      <c r="N5" t="s">
        <v>84</v>
      </c>
      <c r="P5">
        <f t="shared" ref="P5:P8" si="4">+K5+31000</f>
        <v>34545.454545454544</v>
      </c>
    </row>
    <row r="6" spans="1:19" x14ac:dyDescent="0.25">
      <c r="A6" s="2">
        <v>44432</v>
      </c>
      <c r="B6" t="s">
        <v>66</v>
      </c>
      <c r="C6">
        <v>145</v>
      </c>
      <c r="D6">
        <v>33</v>
      </c>
      <c r="E6">
        <f t="shared" si="1"/>
        <v>4393.939393939394</v>
      </c>
      <c r="G6" s="2">
        <v>44432</v>
      </c>
      <c r="H6" t="s">
        <v>76</v>
      </c>
      <c r="I6">
        <v>134</v>
      </c>
      <c r="J6">
        <v>33</v>
      </c>
      <c r="K6">
        <f t="shared" si="2"/>
        <v>4060.6060606060605</v>
      </c>
      <c r="L6">
        <f t="shared" si="3"/>
        <v>333.33333333333348</v>
      </c>
      <c r="M6">
        <f t="shared" si="0"/>
        <v>7.5862068965517269</v>
      </c>
      <c r="P6">
        <f t="shared" si="4"/>
        <v>35060.606060606064</v>
      </c>
      <c r="Q6">
        <f>2005*8</f>
        <v>16040</v>
      </c>
      <c r="R6" t="e">
        <f>+N4*17</f>
        <v>#VALUE!</v>
      </c>
    </row>
    <row r="7" spans="1:19" x14ac:dyDescent="0.25">
      <c r="A7" s="2">
        <v>44432</v>
      </c>
      <c r="B7" t="s">
        <v>67</v>
      </c>
      <c r="C7">
        <v>144</v>
      </c>
      <c r="D7">
        <v>33</v>
      </c>
      <c r="E7">
        <f t="shared" si="1"/>
        <v>4363.6363636363631</v>
      </c>
      <c r="G7" s="2">
        <v>44432</v>
      </c>
      <c r="H7" t="s">
        <v>77</v>
      </c>
      <c r="I7">
        <v>148</v>
      </c>
      <c r="J7">
        <v>33</v>
      </c>
      <c r="K7">
        <f t="shared" si="2"/>
        <v>4484.8484848484841</v>
      </c>
      <c r="L7">
        <f>+E7-K7</f>
        <v>-121.21212121212102</v>
      </c>
      <c r="M7">
        <f>+L7/E7*100</f>
        <v>-2.7777777777777737</v>
      </c>
      <c r="P7">
        <f t="shared" si="4"/>
        <v>35484.84848484848</v>
      </c>
    </row>
    <row r="8" spans="1:19" x14ac:dyDescent="0.25">
      <c r="A8" s="2">
        <v>44432</v>
      </c>
      <c r="B8" t="s">
        <v>68</v>
      </c>
      <c r="C8">
        <v>188</v>
      </c>
      <c r="D8">
        <v>33</v>
      </c>
      <c r="E8">
        <f t="shared" si="1"/>
        <v>5696.969696969697</v>
      </c>
      <c r="G8" s="2">
        <v>44432</v>
      </c>
      <c r="H8" t="s">
        <v>78</v>
      </c>
      <c r="I8">
        <v>191</v>
      </c>
      <c r="J8">
        <v>33</v>
      </c>
      <c r="K8">
        <f t="shared" si="2"/>
        <v>5787.878787878788</v>
      </c>
      <c r="L8">
        <f t="shared" si="3"/>
        <v>-90.909090909090992</v>
      </c>
      <c r="M8">
        <f t="shared" ref="M8:M13" si="5">+L8/E8*100</f>
        <v>-1.5957446808510654</v>
      </c>
      <c r="P8">
        <f t="shared" si="4"/>
        <v>36787.878787878784</v>
      </c>
    </row>
    <row r="9" spans="1:19" x14ac:dyDescent="0.25">
      <c r="A9" s="2">
        <v>44432</v>
      </c>
      <c r="B9" t="s">
        <v>69</v>
      </c>
      <c r="C9">
        <v>178</v>
      </c>
      <c r="D9">
        <v>33</v>
      </c>
      <c r="E9">
        <f t="shared" si="1"/>
        <v>5393.939393939394</v>
      </c>
      <c r="G9" s="2">
        <v>44432</v>
      </c>
      <c r="H9" t="s">
        <v>79</v>
      </c>
      <c r="I9">
        <v>191</v>
      </c>
      <c r="J9">
        <v>33</v>
      </c>
      <c r="K9">
        <f t="shared" si="2"/>
        <v>5787.878787878788</v>
      </c>
      <c r="L9">
        <f t="shared" si="3"/>
        <v>-393.93939393939399</v>
      </c>
      <c r="M9">
        <f t="shared" si="5"/>
        <v>-7.3033707865168553</v>
      </c>
    </row>
    <row r="10" spans="1:19" x14ac:dyDescent="0.25">
      <c r="A10" s="2">
        <v>44432</v>
      </c>
      <c r="B10" t="s">
        <v>70</v>
      </c>
      <c r="C10">
        <v>144</v>
      </c>
      <c r="D10">
        <v>33</v>
      </c>
      <c r="E10">
        <f t="shared" si="1"/>
        <v>4363.6363636363631</v>
      </c>
      <c r="G10" s="2">
        <v>44432</v>
      </c>
      <c r="H10" t="s">
        <v>80</v>
      </c>
      <c r="I10">
        <v>152</v>
      </c>
      <c r="J10">
        <v>33</v>
      </c>
      <c r="K10">
        <f t="shared" si="2"/>
        <v>4606.060606060606</v>
      </c>
      <c r="L10">
        <f t="shared" si="3"/>
        <v>-242.42424242424295</v>
      </c>
      <c r="M10">
        <f t="shared" si="5"/>
        <v>-5.5555555555555687</v>
      </c>
    </row>
    <row r="11" spans="1:19" x14ac:dyDescent="0.25">
      <c r="A11" s="2">
        <v>44432</v>
      </c>
      <c r="B11" t="s">
        <v>71</v>
      </c>
      <c r="C11">
        <v>157</v>
      </c>
      <c r="D11">
        <v>33</v>
      </c>
      <c r="E11">
        <f t="shared" si="1"/>
        <v>4757.575757575758</v>
      </c>
      <c r="G11" s="2">
        <v>44432</v>
      </c>
      <c r="H11" t="s">
        <v>81</v>
      </c>
      <c r="I11">
        <v>150</v>
      </c>
      <c r="J11">
        <v>33</v>
      </c>
      <c r="K11">
        <f t="shared" si="2"/>
        <v>4545.454545454546</v>
      </c>
      <c r="L11">
        <f t="shared" si="3"/>
        <v>212.12121212121201</v>
      </c>
      <c r="M11">
        <f t="shared" si="5"/>
        <v>4.4585987261146469</v>
      </c>
    </row>
    <row r="12" spans="1:19" x14ac:dyDescent="0.25">
      <c r="A12" s="2">
        <v>44432</v>
      </c>
      <c r="B12" t="s">
        <v>72</v>
      </c>
      <c r="C12">
        <v>186</v>
      </c>
      <c r="D12">
        <v>33</v>
      </c>
      <c r="E12">
        <f t="shared" si="1"/>
        <v>5636.3636363636369</v>
      </c>
      <c r="G12" s="2">
        <v>44432</v>
      </c>
      <c r="H12" t="s">
        <v>82</v>
      </c>
      <c r="I12">
        <v>219</v>
      </c>
      <c r="J12">
        <v>33</v>
      </c>
      <c r="K12">
        <f>+I12/J12*1000</f>
        <v>6636.3636363636369</v>
      </c>
      <c r="L12">
        <f t="shared" si="3"/>
        <v>-1000</v>
      </c>
      <c r="M12">
        <f t="shared" si="5"/>
        <v>-17.741935483870964</v>
      </c>
      <c r="N12" t="s">
        <v>84</v>
      </c>
    </row>
    <row r="13" spans="1:19" x14ac:dyDescent="0.25">
      <c r="A13" s="2">
        <v>44432</v>
      </c>
      <c r="B13" t="s">
        <v>73</v>
      </c>
      <c r="C13">
        <v>160</v>
      </c>
      <c r="D13">
        <v>33</v>
      </c>
      <c r="E13">
        <f t="shared" si="1"/>
        <v>4848.484848484849</v>
      </c>
      <c r="G13" s="2">
        <v>44432</v>
      </c>
      <c r="H13" t="s">
        <v>83</v>
      </c>
      <c r="I13">
        <v>130</v>
      </c>
      <c r="J13">
        <v>33</v>
      </c>
      <c r="K13">
        <f t="shared" si="2"/>
        <v>3939.3939393939395</v>
      </c>
      <c r="L13">
        <f t="shared" si="3"/>
        <v>909.09090909090946</v>
      </c>
      <c r="M13">
        <f t="shared" si="5"/>
        <v>18.750000000000007</v>
      </c>
    </row>
    <row r="14" spans="1:19" x14ac:dyDescent="0.25">
      <c r="A14" s="2"/>
      <c r="G14" s="2"/>
    </row>
    <row r="15" spans="1:19" x14ac:dyDescent="0.25">
      <c r="A15" s="2"/>
      <c r="G15" s="2"/>
    </row>
    <row r="16" spans="1:19" x14ac:dyDescent="0.25">
      <c r="A16" s="2"/>
      <c r="G16" s="2"/>
    </row>
    <row r="17" spans="1:8" x14ac:dyDescent="0.25">
      <c r="A17" s="2"/>
      <c r="G17" s="2"/>
    </row>
    <row r="18" spans="1:8" x14ac:dyDescent="0.25">
      <c r="A18" s="2"/>
      <c r="G18" s="2"/>
    </row>
    <row r="20" spans="1:8" x14ac:dyDescent="0.25">
      <c r="B20" s="7"/>
    </row>
    <row r="21" spans="1:8" x14ac:dyDescent="0.25">
      <c r="A21" s="6"/>
      <c r="B21" s="7"/>
    </row>
    <row r="25" spans="1:8" x14ac:dyDescent="0.25">
      <c r="H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D1" sqref="D1:D1048576"/>
    </sheetView>
  </sheetViews>
  <sheetFormatPr defaultRowHeight="15" x14ac:dyDescent="0.25"/>
  <cols>
    <col min="1" max="1" width="12" bestFit="1" customWidth="1"/>
    <col min="2" max="2" width="16.28515625" customWidth="1"/>
    <col min="3" max="3" width="10" bestFit="1" customWidth="1"/>
    <col min="4" max="4" width="12" style="8" bestFit="1" customWidth="1"/>
    <col min="5" max="5" width="11" bestFit="1" customWidth="1"/>
    <col min="6" max="6" width="12" bestFit="1" customWidth="1"/>
    <col min="7" max="7" width="10" bestFit="1" customWidth="1"/>
    <col min="8" max="8" width="23.42578125" customWidth="1"/>
    <col min="9" max="9" width="10" bestFit="1" customWidth="1"/>
    <col min="12" max="12" width="13.42578125" customWidth="1"/>
    <col min="13" max="13" width="19.85546875" customWidth="1"/>
    <col min="15" max="15" width="37.28515625" customWidth="1"/>
    <col min="32" max="32" width="15.28515625" customWidth="1"/>
  </cols>
  <sheetData>
    <row r="1" spans="1:19" x14ac:dyDescent="0.25">
      <c r="B1" t="s">
        <v>85</v>
      </c>
      <c r="C1" t="s">
        <v>4</v>
      </c>
      <c r="H1" s="4" t="s">
        <v>85</v>
      </c>
      <c r="I1" t="s">
        <v>4</v>
      </c>
      <c r="M1" s="2"/>
    </row>
    <row r="2" spans="1:19" x14ac:dyDescent="0.25">
      <c r="A2" s="5"/>
      <c r="B2" t="s">
        <v>61</v>
      </c>
      <c r="C2" t="s">
        <v>5</v>
      </c>
      <c r="F2" s="5"/>
      <c r="G2" s="2"/>
      <c r="H2" s="5" t="s">
        <v>62</v>
      </c>
      <c r="I2" t="s">
        <v>5</v>
      </c>
      <c r="L2" t="s">
        <v>9</v>
      </c>
      <c r="M2" t="s">
        <v>60</v>
      </c>
    </row>
    <row r="3" spans="1:19" x14ac:dyDescent="0.25">
      <c r="A3" t="s">
        <v>2</v>
      </c>
      <c r="C3" t="s">
        <v>0</v>
      </c>
      <c r="D3" s="8" t="s">
        <v>1</v>
      </c>
      <c r="E3" t="s">
        <v>3</v>
      </c>
      <c r="F3" s="6"/>
      <c r="G3" s="5"/>
      <c r="I3" t="s">
        <v>0</v>
      </c>
      <c r="J3" t="s">
        <v>1</v>
      </c>
      <c r="K3" t="s">
        <v>6</v>
      </c>
      <c r="L3" t="s">
        <v>10</v>
      </c>
      <c r="M3" s="5"/>
    </row>
    <row r="4" spans="1:19" x14ac:dyDescent="0.25">
      <c r="A4" s="2">
        <v>44432</v>
      </c>
      <c r="B4" t="s">
        <v>86</v>
      </c>
      <c r="C4">
        <v>225</v>
      </c>
      <c r="D4" s="8">
        <v>33</v>
      </c>
      <c r="E4">
        <f>+C4/D4*1000</f>
        <v>6818.181818181818</v>
      </c>
      <c r="G4" s="2">
        <v>44432</v>
      </c>
      <c r="H4" t="s">
        <v>96</v>
      </c>
      <c r="I4">
        <v>186</v>
      </c>
      <c r="J4">
        <v>33</v>
      </c>
      <c r="K4">
        <f>+I4/J4*1000</f>
        <v>5636.3636363636369</v>
      </c>
      <c r="L4">
        <f>+E4-K4</f>
        <v>1181.8181818181811</v>
      </c>
      <c r="M4">
        <f t="shared" ref="M4:M6" si="0">+L4/E4*100</f>
        <v>17.333333333333321</v>
      </c>
      <c r="P4">
        <f>+K4+31000</f>
        <v>36636.36363636364</v>
      </c>
      <c r="Q4">
        <f>P4-Q6</f>
        <v>20596.36363636364</v>
      </c>
      <c r="R4">
        <f>+Q4+31000</f>
        <v>51596.36363636364</v>
      </c>
      <c r="S4">
        <f>+R4-R6</f>
        <v>51596.36363636364</v>
      </c>
    </row>
    <row r="5" spans="1:19" x14ac:dyDescent="0.25">
      <c r="A5" s="2">
        <v>44432</v>
      </c>
      <c r="B5" t="s">
        <v>87</v>
      </c>
      <c r="C5">
        <v>206</v>
      </c>
      <c r="D5" s="8">
        <v>33</v>
      </c>
      <c r="E5">
        <f t="shared" ref="E5:E13" si="1">+C5/D5*1000</f>
        <v>6242.424242424242</v>
      </c>
      <c r="G5" s="2">
        <v>44432</v>
      </c>
      <c r="H5" t="s">
        <v>97</v>
      </c>
      <c r="I5">
        <v>210</v>
      </c>
      <c r="J5">
        <v>33</v>
      </c>
      <c r="K5">
        <f t="shared" ref="K5:K13" si="2">+I5/J5*1000</f>
        <v>6363.6363636363631</v>
      </c>
      <c r="L5">
        <f t="shared" ref="L5:L13" si="3">+E5-K5</f>
        <v>-121.21212121212102</v>
      </c>
      <c r="M5">
        <f t="shared" si="0"/>
        <v>-1.9417475728155311</v>
      </c>
      <c r="P5">
        <f t="shared" ref="P5:P8" si="4">+K5+31000</f>
        <v>37363.63636363636</v>
      </c>
    </row>
    <row r="6" spans="1:19" x14ac:dyDescent="0.25">
      <c r="A6" s="2">
        <v>44432</v>
      </c>
      <c r="B6" t="s">
        <v>88</v>
      </c>
      <c r="C6">
        <v>224</v>
      </c>
      <c r="D6" s="8">
        <v>33</v>
      </c>
      <c r="E6">
        <f t="shared" si="1"/>
        <v>6787.878787878788</v>
      </c>
      <c r="G6" s="2">
        <v>44432</v>
      </c>
      <c r="H6" t="s">
        <v>98</v>
      </c>
      <c r="I6">
        <v>235</v>
      </c>
      <c r="J6">
        <v>33</v>
      </c>
      <c r="K6">
        <f t="shared" si="2"/>
        <v>7121.212121212121</v>
      </c>
      <c r="L6">
        <f t="shared" si="3"/>
        <v>-333.33333333333303</v>
      </c>
      <c r="M6">
        <f t="shared" si="0"/>
        <v>-4.9107142857142811</v>
      </c>
      <c r="P6">
        <f t="shared" si="4"/>
        <v>38121.21212121212</v>
      </c>
      <c r="Q6">
        <f>2005*8</f>
        <v>16040</v>
      </c>
      <c r="R6">
        <f>+N4*17</f>
        <v>0</v>
      </c>
    </row>
    <row r="7" spans="1:19" x14ac:dyDescent="0.25">
      <c r="A7" s="2">
        <v>44432</v>
      </c>
      <c r="B7" t="s">
        <v>89</v>
      </c>
      <c r="C7">
        <v>226</v>
      </c>
      <c r="D7" s="8">
        <v>33</v>
      </c>
      <c r="E7">
        <f t="shared" si="1"/>
        <v>6848.484848484849</v>
      </c>
      <c r="G7" s="2">
        <v>44432</v>
      </c>
      <c r="H7" t="s">
        <v>99</v>
      </c>
      <c r="I7">
        <v>229</v>
      </c>
      <c r="J7">
        <v>33</v>
      </c>
      <c r="K7">
        <f t="shared" si="2"/>
        <v>6939.393939393939</v>
      </c>
      <c r="L7">
        <f>+E7-K7</f>
        <v>-90.909090909090082</v>
      </c>
      <c r="M7">
        <f>+L7/E7*100</f>
        <v>-1.3274336283185719</v>
      </c>
      <c r="P7">
        <f t="shared" si="4"/>
        <v>37939.393939393936</v>
      </c>
    </row>
    <row r="8" spans="1:19" x14ac:dyDescent="0.25">
      <c r="A8" s="2">
        <v>44432</v>
      </c>
      <c r="B8" t="s">
        <v>90</v>
      </c>
      <c r="C8">
        <v>230</v>
      </c>
      <c r="D8" s="8">
        <v>33</v>
      </c>
      <c r="E8">
        <f t="shared" si="1"/>
        <v>6969.69696969697</v>
      </c>
      <c r="G8" s="2">
        <v>44432</v>
      </c>
      <c r="H8" t="s">
        <v>100</v>
      </c>
      <c r="I8">
        <v>233</v>
      </c>
      <c r="J8">
        <v>33</v>
      </c>
      <c r="K8">
        <f t="shared" si="2"/>
        <v>7060.606060606061</v>
      </c>
      <c r="L8">
        <f t="shared" si="3"/>
        <v>-90.909090909090992</v>
      </c>
      <c r="M8">
        <f t="shared" ref="M8:M13" si="5">+L8/E8*100</f>
        <v>-1.3043478260869577</v>
      </c>
      <c r="P8">
        <f t="shared" si="4"/>
        <v>38060.606060606064</v>
      </c>
    </row>
    <row r="9" spans="1:19" x14ac:dyDescent="0.25">
      <c r="A9" s="2">
        <v>44432</v>
      </c>
      <c r="B9" t="s">
        <v>91</v>
      </c>
      <c r="C9">
        <v>579</v>
      </c>
      <c r="D9" s="8">
        <v>33</v>
      </c>
      <c r="E9">
        <f t="shared" si="1"/>
        <v>17545.454545454548</v>
      </c>
      <c r="G9" s="2">
        <v>44432</v>
      </c>
      <c r="H9" t="s">
        <v>101</v>
      </c>
      <c r="I9">
        <v>330</v>
      </c>
      <c r="J9">
        <v>33</v>
      </c>
      <c r="K9">
        <f t="shared" si="2"/>
        <v>10000</v>
      </c>
      <c r="L9">
        <f t="shared" si="3"/>
        <v>7545.4545454545478</v>
      </c>
      <c r="M9">
        <f t="shared" si="5"/>
        <v>43.00518134715027</v>
      </c>
    </row>
    <row r="10" spans="1:19" x14ac:dyDescent="0.25">
      <c r="A10" s="2">
        <v>44432</v>
      </c>
      <c r="B10" t="s">
        <v>92</v>
      </c>
      <c r="C10">
        <v>330</v>
      </c>
      <c r="D10" s="8">
        <v>33</v>
      </c>
      <c r="E10">
        <f t="shared" si="1"/>
        <v>10000</v>
      </c>
      <c r="G10" s="2">
        <v>44432</v>
      </c>
      <c r="H10" t="s">
        <v>102</v>
      </c>
      <c r="I10">
        <v>340</v>
      </c>
      <c r="J10">
        <v>33</v>
      </c>
      <c r="K10">
        <f t="shared" si="2"/>
        <v>10303.030303030302</v>
      </c>
      <c r="L10">
        <f t="shared" si="3"/>
        <v>-303.03030303030209</v>
      </c>
      <c r="M10">
        <f t="shared" si="5"/>
        <v>-3.030303030303021</v>
      </c>
    </row>
    <row r="11" spans="1:19" x14ac:dyDescent="0.25">
      <c r="A11" s="2">
        <v>44432</v>
      </c>
      <c r="B11" t="s">
        <v>93</v>
      </c>
      <c r="C11">
        <v>278</v>
      </c>
      <c r="D11" s="8">
        <v>33</v>
      </c>
      <c r="E11">
        <f t="shared" si="1"/>
        <v>8424.242424242424</v>
      </c>
      <c r="G11" s="2">
        <v>44432</v>
      </c>
      <c r="H11" t="s">
        <v>103</v>
      </c>
      <c r="I11">
        <v>259</v>
      </c>
      <c r="J11">
        <v>33</v>
      </c>
      <c r="K11">
        <f t="shared" si="2"/>
        <v>7848.484848484849</v>
      </c>
      <c r="L11">
        <f t="shared" si="3"/>
        <v>575.75757575757507</v>
      </c>
      <c r="M11">
        <f t="shared" si="5"/>
        <v>6.8345323741007116</v>
      </c>
    </row>
    <row r="12" spans="1:19" x14ac:dyDescent="0.25">
      <c r="A12" s="2">
        <v>44432</v>
      </c>
      <c r="B12" t="s">
        <v>94</v>
      </c>
      <c r="C12">
        <v>330</v>
      </c>
      <c r="D12" s="8">
        <v>33</v>
      </c>
      <c r="E12">
        <f t="shared" si="1"/>
        <v>10000</v>
      </c>
      <c r="G12" s="2">
        <v>44432</v>
      </c>
      <c r="H12" t="s">
        <v>104</v>
      </c>
      <c r="I12">
        <v>322</v>
      </c>
      <c r="J12">
        <v>33</v>
      </c>
      <c r="K12">
        <f>+I12/J12*1000</f>
        <v>9757.575757575758</v>
      </c>
      <c r="L12">
        <f t="shared" si="3"/>
        <v>242.42424242424204</v>
      </c>
      <c r="M12">
        <f t="shared" si="5"/>
        <v>2.4242424242424203</v>
      </c>
    </row>
    <row r="13" spans="1:19" x14ac:dyDescent="0.25">
      <c r="A13" s="2">
        <v>44432</v>
      </c>
      <c r="B13" t="s">
        <v>95</v>
      </c>
      <c r="C13">
        <v>296</v>
      </c>
      <c r="D13" s="8">
        <v>33</v>
      </c>
      <c r="E13">
        <f t="shared" si="1"/>
        <v>8969.6969696969682</v>
      </c>
      <c r="G13" s="2">
        <v>44432</v>
      </c>
      <c r="H13" t="s">
        <v>105</v>
      </c>
      <c r="I13">
        <v>294</v>
      </c>
      <c r="J13">
        <v>33</v>
      </c>
      <c r="K13">
        <f t="shared" si="2"/>
        <v>8909.0909090909081</v>
      </c>
      <c r="L13">
        <f t="shared" si="3"/>
        <v>60.606060606060055</v>
      </c>
      <c r="M13">
        <f t="shared" si="5"/>
        <v>0.67567567567566966</v>
      </c>
    </row>
    <row r="14" spans="1:19" x14ac:dyDescent="0.25">
      <c r="A14" s="2"/>
      <c r="G14" s="2"/>
    </row>
    <row r="15" spans="1:19" x14ac:dyDescent="0.25">
      <c r="A15" s="2"/>
      <c r="G15" s="2"/>
    </row>
    <row r="16" spans="1:19" x14ac:dyDescent="0.25">
      <c r="A16" s="2"/>
      <c r="G16" s="2"/>
    </row>
    <row r="17" spans="1:8" x14ac:dyDescent="0.25">
      <c r="A17" s="2"/>
      <c r="G17" s="2"/>
    </row>
    <row r="18" spans="1:8" x14ac:dyDescent="0.25">
      <c r="A18" s="2"/>
      <c r="G18" s="2"/>
    </row>
    <row r="20" spans="1:8" x14ac:dyDescent="0.25">
      <c r="B20" s="7"/>
    </row>
    <row r="21" spans="1:8" x14ac:dyDescent="0.25">
      <c r="A21" s="6"/>
      <c r="B21" s="7"/>
    </row>
    <row r="25" spans="1:8" x14ac:dyDescent="0.25">
      <c r="H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D1" workbookViewId="0">
      <selection activeCell="J14" sqref="J14"/>
    </sheetView>
  </sheetViews>
  <sheetFormatPr defaultRowHeight="15" x14ac:dyDescent="0.25"/>
  <cols>
    <col min="1" max="1" width="12" bestFit="1" customWidth="1"/>
    <col min="2" max="2" width="12" style="3" customWidth="1"/>
    <col min="3" max="3" width="16.28515625" customWidth="1"/>
    <col min="4" max="4" width="10" bestFit="1" customWidth="1"/>
    <col min="5" max="5" width="12" style="8" bestFit="1" customWidth="1"/>
    <col min="6" max="6" width="11" bestFit="1" customWidth="1"/>
    <col min="7" max="7" width="12" bestFit="1" customWidth="1"/>
    <col min="8" max="8" width="10" bestFit="1" customWidth="1"/>
    <col min="9" max="9" width="23.42578125" customWidth="1"/>
    <col min="10" max="10" width="10" bestFit="1" customWidth="1"/>
    <col min="13" max="13" width="13.42578125" customWidth="1"/>
    <col min="14" max="14" width="19.85546875" customWidth="1"/>
    <col min="16" max="16" width="37.28515625" customWidth="1"/>
    <col min="33" max="33" width="15.28515625" customWidth="1"/>
  </cols>
  <sheetData>
    <row r="1" spans="1:20" x14ac:dyDescent="0.25">
      <c r="C1" t="s">
        <v>85</v>
      </c>
      <c r="D1" t="s">
        <v>4</v>
      </c>
      <c r="I1" s="4" t="s">
        <v>85</v>
      </c>
      <c r="J1" t="s">
        <v>4</v>
      </c>
      <c r="N1" s="2"/>
    </row>
    <row r="2" spans="1:20" x14ac:dyDescent="0.25">
      <c r="A2" s="5"/>
      <c r="C2" t="s">
        <v>61</v>
      </c>
      <c r="D2" t="s">
        <v>5</v>
      </c>
      <c r="G2" s="5"/>
      <c r="H2" s="2"/>
      <c r="I2" s="5" t="s">
        <v>62</v>
      </c>
      <c r="J2" t="s">
        <v>5</v>
      </c>
      <c r="M2" t="s">
        <v>9</v>
      </c>
      <c r="N2" t="s">
        <v>60</v>
      </c>
    </row>
    <row r="3" spans="1:20" x14ac:dyDescent="0.25">
      <c r="A3" t="s">
        <v>2</v>
      </c>
      <c r="B3" s="3" t="s">
        <v>106</v>
      </c>
      <c r="D3" t="s">
        <v>0</v>
      </c>
      <c r="E3" s="8" t="s">
        <v>1</v>
      </c>
      <c r="F3" t="s">
        <v>3</v>
      </c>
      <c r="G3" s="6"/>
      <c r="H3" s="5"/>
      <c r="J3" t="s">
        <v>0</v>
      </c>
      <c r="K3" t="s">
        <v>1</v>
      </c>
      <c r="L3" t="s">
        <v>6</v>
      </c>
      <c r="M3" t="s">
        <v>10</v>
      </c>
      <c r="N3" s="5"/>
    </row>
    <row r="4" spans="1:20" x14ac:dyDescent="0.25">
      <c r="A4" s="2">
        <v>44432</v>
      </c>
      <c r="B4" s="3">
        <v>8</v>
      </c>
      <c r="C4">
        <v>1</v>
      </c>
      <c r="D4">
        <v>204</v>
      </c>
      <c r="E4" s="8">
        <v>33</v>
      </c>
      <c r="F4">
        <f>+D4/E4*1000</f>
        <v>6181.818181818182</v>
      </c>
      <c r="H4" s="2">
        <v>44432</v>
      </c>
      <c r="I4" t="s">
        <v>96</v>
      </c>
      <c r="J4">
        <v>224</v>
      </c>
      <c r="K4">
        <v>33</v>
      </c>
      <c r="L4">
        <f>+J4/K4*1000</f>
        <v>6787.878787878788</v>
      </c>
      <c r="M4">
        <f>+F4-L4</f>
        <v>-606.06060606060601</v>
      </c>
      <c r="N4">
        <f t="shared" ref="N4:N6" si="0">+M4/F4*100</f>
        <v>-9.8039215686274499</v>
      </c>
      <c r="Q4">
        <f>+L4+31000</f>
        <v>37787.878787878784</v>
      </c>
      <c r="R4">
        <f>Q4-R6</f>
        <v>21747.878787878784</v>
      </c>
      <c r="S4">
        <f>+R4+31000</f>
        <v>52747.878787878784</v>
      </c>
      <c r="T4">
        <f>+S4-S6</f>
        <v>52747.878787878784</v>
      </c>
    </row>
    <row r="5" spans="1:20" x14ac:dyDescent="0.25">
      <c r="A5" s="2">
        <v>44432</v>
      </c>
      <c r="B5" s="3">
        <v>8</v>
      </c>
      <c r="C5">
        <v>2</v>
      </c>
      <c r="D5">
        <v>226</v>
      </c>
      <c r="E5" s="8">
        <v>33</v>
      </c>
      <c r="F5">
        <f t="shared" ref="F5:F13" si="1">+D5/E5*1000</f>
        <v>6848.484848484849</v>
      </c>
      <c r="H5" s="2">
        <v>44432</v>
      </c>
      <c r="I5" t="s">
        <v>97</v>
      </c>
      <c r="J5">
        <v>230</v>
      </c>
      <c r="K5">
        <v>33</v>
      </c>
      <c r="L5">
        <f t="shared" ref="L5:L13" si="2">+J5/K5*1000</f>
        <v>6969.69696969697</v>
      </c>
      <c r="M5">
        <f t="shared" ref="M5:M13" si="3">+F5-L5</f>
        <v>-121.21212121212102</v>
      </c>
      <c r="N5">
        <f t="shared" si="0"/>
        <v>-1.769911504424776</v>
      </c>
      <c r="Q5">
        <f t="shared" ref="Q5:Q8" si="4">+L5+31000</f>
        <v>37969.696969696968</v>
      </c>
    </row>
    <row r="6" spans="1:20" x14ac:dyDescent="0.25">
      <c r="A6" s="2">
        <v>44432</v>
      </c>
      <c r="B6" s="3">
        <v>8</v>
      </c>
      <c r="C6">
        <v>3</v>
      </c>
      <c r="D6">
        <v>335</v>
      </c>
      <c r="E6" s="8">
        <v>33</v>
      </c>
      <c r="F6">
        <f t="shared" si="1"/>
        <v>10151.515151515152</v>
      </c>
      <c r="H6" s="2">
        <v>44432</v>
      </c>
      <c r="I6" t="s">
        <v>98</v>
      </c>
      <c r="J6">
        <v>232</v>
      </c>
      <c r="K6">
        <v>33</v>
      </c>
      <c r="L6">
        <f t="shared" si="2"/>
        <v>7030.30303030303</v>
      </c>
      <c r="M6">
        <f t="shared" si="3"/>
        <v>3121.2121212121219</v>
      </c>
      <c r="N6">
        <f t="shared" si="0"/>
        <v>30.746268656716424</v>
      </c>
      <c r="Q6">
        <f t="shared" si="4"/>
        <v>38030.303030303032</v>
      </c>
      <c r="R6">
        <f>2005*8</f>
        <v>16040</v>
      </c>
      <c r="S6">
        <f>+O4*17</f>
        <v>0</v>
      </c>
    </row>
    <row r="7" spans="1:20" x14ac:dyDescent="0.25">
      <c r="A7" s="2">
        <v>44432</v>
      </c>
      <c r="B7" s="3">
        <v>8</v>
      </c>
      <c r="C7">
        <v>4</v>
      </c>
      <c r="D7">
        <v>263</v>
      </c>
      <c r="E7" s="8">
        <v>33</v>
      </c>
      <c r="F7">
        <f t="shared" si="1"/>
        <v>7969.69696969697</v>
      </c>
      <c r="H7" s="2">
        <v>44432</v>
      </c>
      <c r="I7" t="s">
        <v>99</v>
      </c>
      <c r="J7">
        <v>246</v>
      </c>
      <c r="K7">
        <v>33</v>
      </c>
      <c r="L7">
        <f t="shared" si="2"/>
        <v>7454.545454545454</v>
      </c>
      <c r="M7">
        <f>+F7-L7</f>
        <v>515.15151515151592</v>
      </c>
      <c r="N7">
        <f>+M7/F7*100</f>
        <v>6.4638783269962072</v>
      </c>
      <c r="Q7">
        <f t="shared" si="4"/>
        <v>38454.545454545456</v>
      </c>
    </row>
    <row r="8" spans="1:20" x14ac:dyDescent="0.25">
      <c r="A8" s="2">
        <v>44432</v>
      </c>
      <c r="B8" s="3">
        <v>7.5</v>
      </c>
      <c r="C8">
        <v>5</v>
      </c>
      <c r="D8">
        <v>544</v>
      </c>
      <c r="E8" s="8">
        <v>33</v>
      </c>
      <c r="F8">
        <f t="shared" si="1"/>
        <v>16484.848484848484</v>
      </c>
      <c r="H8" s="2">
        <v>44432</v>
      </c>
      <c r="I8" t="s">
        <v>100</v>
      </c>
      <c r="J8">
        <v>461</v>
      </c>
      <c r="K8">
        <v>33</v>
      </c>
      <c r="L8">
        <f t="shared" si="2"/>
        <v>13969.696969696968</v>
      </c>
      <c r="M8">
        <f t="shared" si="3"/>
        <v>2515.1515151515159</v>
      </c>
      <c r="N8">
        <f t="shared" ref="N8:N13" si="5">+M8/F8*100</f>
        <v>15.257352941176475</v>
      </c>
      <c r="Q8">
        <f t="shared" si="4"/>
        <v>44969.696969696968</v>
      </c>
    </row>
    <row r="9" spans="1:20" x14ac:dyDescent="0.25">
      <c r="A9" s="2">
        <v>44432</v>
      </c>
      <c r="B9" s="3">
        <v>7.5</v>
      </c>
      <c r="C9">
        <v>6</v>
      </c>
      <c r="D9">
        <v>549</v>
      </c>
      <c r="E9" s="8">
        <v>33</v>
      </c>
      <c r="F9">
        <f t="shared" si="1"/>
        <v>16636.363636363636</v>
      </c>
      <c r="H9" s="2">
        <v>44432</v>
      </c>
      <c r="I9" t="s">
        <v>101</v>
      </c>
      <c r="J9">
        <v>535</v>
      </c>
      <c r="K9">
        <v>33</v>
      </c>
      <c r="L9">
        <f t="shared" si="2"/>
        <v>16212.12121212121</v>
      </c>
      <c r="M9">
        <f t="shared" si="3"/>
        <v>424.24242424242584</v>
      </c>
      <c r="N9">
        <f t="shared" si="5"/>
        <v>2.550091074681248</v>
      </c>
    </row>
    <row r="10" spans="1:20" x14ac:dyDescent="0.25">
      <c r="A10" s="2">
        <v>44432</v>
      </c>
      <c r="B10" s="3">
        <v>7.5</v>
      </c>
      <c r="C10">
        <v>7</v>
      </c>
      <c r="D10">
        <v>562</v>
      </c>
      <c r="E10" s="8">
        <v>33</v>
      </c>
      <c r="F10">
        <f t="shared" si="1"/>
        <v>17030.303030303032</v>
      </c>
      <c r="H10" s="2">
        <v>44432</v>
      </c>
      <c r="I10" t="s">
        <v>102</v>
      </c>
      <c r="J10">
        <v>566</v>
      </c>
      <c r="K10">
        <v>33</v>
      </c>
      <c r="L10">
        <f t="shared" si="2"/>
        <v>17151.515151515152</v>
      </c>
      <c r="M10">
        <f t="shared" si="3"/>
        <v>-121.21212121212011</v>
      </c>
      <c r="N10">
        <f t="shared" si="5"/>
        <v>-0.71174377224198637</v>
      </c>
    </row>
    <row r="11" spans="1:20" x14ac:dyDescent="0.25">
      <c r="A11" s="2">
        <v>44432</v>
      </c>
      <c r="B11" s="3">
        <v>7.5</v>
      </c>
      <c r="C11">
        <v>8</v>
      </c>
      <c r="D11">
        <v>534</v>
      </c>
      <c r="E11" s="8">
        <v>33</v>
      </c>
      <c r="F11">
        <f t="shared" si="1"/>
        <v>16181.818181818184</v>
      </c>
      <c r="H11" s="2">
        <v>44432</v>
      </c>
      <c r="I11" t="s">
        <v>103</v>
      </c>
      <c r="J11">
        <v>485</v>
      </c>
      <c r="K11">
        <v>33</v>
      </c>
      <c r="L11">
        <f t="shared" si="2"/>
        <v>14696.969696969698</v>
      </c>
      <c r="M11">
        <f t="shared" si="3"/>
        <v>1484.8484848484859</v>
      </c>
      <c r="N11">
        <f t="shared" si="5"/>
        <v>9.1760299625468225</v>
      </c>
    </row>
    <row r="12" spans="1:20" x14ac:dyDescent="0.25">
      <c r="A12" s="2">
        <v>44432</v>
      </c>
      <c r="B12" s="3">
        <v>7</v>
      </c>
      <c r="C12">
        <v>9</v>
      </c>
      <c r="D12">
        <v>935</v>
      </c>
      <c r="E12" s="8">
        <v>33</v>
      </c>
      <c r="F12">
        <f t="shared" si="1"/>
        <v>28333.333333333332</v>
      </c>
      <c r="H12" s="2">
        <v>44432</v>
      </c>
      <c r="I12" t="s">
        <v>104</v>
      </c>
      <c r="J12">
        <v>621</v>
      </c>
      <c r="K12">
        <v>33</v>
      </c>
      <c r="L12">
        <f t="shared" si="2"/>
        <v>18818.181818181816</v>
      </c>
      <c r="M12">
        <f t="shared" si="3"/>
        <v>9515.1515151515159</v>
      </c>
      <c r="N12">
        <f t="shared" si="5"/>
        <v>33.582887700534762</v>
      </c>
    </row>
    <row r="13" spans="1:20" x14ac:dyDescent="0.25">
      <c r="A13" s="2">
        <v>44432</v>
      </c>
      <c r="B13" s="3">
        <v>7</v>
      </c>
      <c r="C13">
        <v>10</v>
      </c>
      <c r="D13">
        <v>1040</v>
      </c>
      <c r="E13" s="8">
        <v>33</v>
      </c>
      <c r="F13">
        <f t="shared" si="1"/>
        <v>31515.151515151516</v>
      </c>
      <c r="H13" s="2">
        <v>44432</v>
      </c>
      <c r="I13" t="s">
        <v>105</v>
      </c>
      <c r="J13">
        <v>611</v>
      </c>
      <c r="K13">
        <v>33</v>
      </c>
      <c r="L13">
        <f t="shared" si="2"/>
        <v>18515.151515151516</v>
      </c>
      <c r="M13">
        <f t="shared" si="3"/>
        <v>13000</v>
      </c>
      <c r="N13">
        <f t="shared" si="5"/>
        <v>41.25</v>
      </c>
    </row>
    <row r="14" spans="1:20" x14ac:dyDescent="0.25">
      <c r="A14" s="2"/>
      <c r="H14" s="2"/>
    </row>
    <row r="15" spans="1:20" x14ac:dyDescent="0.25">
      <c r="A15" s="2"/>
      <c r="H15" s="2"/>
    </row>
    <row r="16" spans="1:20" x14ac:dyDescent="0.25">
      <c r="A16" s="2"/>
      <c r="H16" s="2"/>
    </row>
    <row r="17" spans="1:9" x14ac:dyDescent="0.25">
      <c r="A17" s="2"/>
      <c r="H17" s="2"/>
    </row>
    <row r="18" spans="1:9" x14ac:dyDescent="0.25">
      <c r="A18" s="2"/>
      <c r="H18" s="2"/>
    </row>
    <row r="19" spans="1:9" x14ac:dyDescent="0.25">
      <c r="E19" s="8" t="s">
        <v>107</v>
      </c>
    </row>
    <row r="20" spans="1:9" x14ac:dyDescent="0.25">
      <c r="C20" s="7"/>
    </row>
    <row r="21" spans="1:9" x14ac:dyDescent="0.25">
      <c r="A21" s="6"/>
      <c r="C21" s="7"/>
    </row>
    <row r="25" spans="1:9" x14ac:dyDescent="0.25">
      <c r="I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" workbookViewId="0">
      <selection activeCell="A5" sqref="A5:A18"/>
    </sheetView>
  </sheetViews>
  <sheetFormatPr defaultRowHeight="15" x14ac:dyDescent="0.25"/>
  <cols>
    <col min="1" max="1" width="9.7109375" bestFit="1" customWidth="1"/>
    <col min="3" max="3" width="10" bestFit="1" customWidth="1"/>
    <col min="7" max="7" width="14.28515625" customWidth="1"/>
    <col min="32" max="32" width="15.28515625" customWidth="1"/>
  </cols>
  <sheetData>
    <row r="1" spans="1:14" x14ac:dyDescent="0.25">
      <c r="C1" t="s">
        <v>4</v>
      </c>
      <c r="H1" s="4"/>
      <c r="I1" t="s">
        <v>4</v>
      </c>
      <c r="M1" s="2"/>
    </row>
    <row r="2" spans="1:14" x14ac:dyDescent="0.25">
      <c r="A2" t="s">
        <v>15</v>
      </c>
      <c r="C2" t="s">
        <v>5</v>
      </c>
      <c r="G2" s="2"/>
      <c r="H2" s="5">
        <v>0.33333333333333331</v>
      </c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44405</v>
      </c>
      <c r="B4">
        <v>1</v>
      </c>
      <c r="C4" s="1">
        <v>777</v>
      </c>
      <c r="D4">
        <v>33</v>
      </c>
      <c r="E4">
        <f>+C4/33*1000</f>
        <v>23545.454545454548</v>
      </c>
      <c r="G4" s="2">
        <v>44406</v>
      </c>
      <c r="H4">
        <v>1</v>
      </c>
      <c r="I4">
        <v>529</v>
      </c>
      <c r="J4">
        <v>33</v>
      </c>
      <c r="K4">
        <f t="shared" ref="K4:K18" si="0">+I4/J4*1000</f>
        <v>16030.303030303032</v>
      </c>
      <c r="L4">
        <f>+E4-K4</f>
        <v>7515.1515151515159</v>
      </c>
      <c r="M4">
        <f>+L4/18</f>
        <v>417.50841750841755</v>
      </c>
      <c r="N4">
        <f>AVERAGE(M4:M8)</f>
        <v>386.66288515100615</v>
      </c>
    </row>
    <row r="5" spans="1:14" x14ac:dyDescent="0.25">
      <c r="A5" s="2">
        <v>44405</v>
      </c>
      <c r="B5">
        <v>2</v>
      </c>
      <c r="C5">
        <v>772</v>
      </c>
      <c r="D5">
        <v>33</v>
      </c>
      <c r="E5">
        <f t="shared" ref="E5:E18" si="1">+C5/33*1000</f>
        <v>23393.939393939396</v>
      </c>
      <c r="G5" s="2">
        <v>44406</v>
      </c>
      <c r="H5">
        <v>2</v>
      </c>
      <c r="I5">
        <v>428</v>
      </c>
      <c r="J5">
        <v>33</v>
      </c>
      <c r="K5">
        <f t="shared" si="0"/>
        <v>12969.696969696968</v>
      </c>
      <c r="L5">
        <f>+E5-K5</f>
        <v>10424.242424242428</v>
      </c>
      <c r="M5">
        <f t="shared" ref="M5:M18" si="2">+L5/23.15</f>
        <v>450.29124942731869</v>
      </c>
    </row>
    <row r="6" spans="1:14" x14ac:dyDescent="0.25">
      <c r="A6" s="2">
        <v>44405</v>
      </c>
      <c r="B6">
        <v>3</v>
      </c>
      <c r="C6">
        <v>797</v>
      </c>
      <c r="D6">
        <v>33</v>
      </c>
      <c r="E6">
        <f t="shared" si="1"/>
        <v>24151.515151515152</v>
      </c>
      <c r="G6" s="2">
        <v>44406</v>
      </c>
      <c r="H6">
        <v>3</v>
      </c>
      <c r="I6">
        <v>507</v>
      </c>
      <c r="J6">
        <v>33</v>
      </c>
      <c r="K6">
        <f t="shared" si="0"/>
        <v>15363.636363636364</v>
      </c>
      <c r="L6">
        <f t="shared" ref="L6:L18" si="3">+E6-K6</f>
        <v>8787.878787878788</v>
      </c>
      <c r="M6">
        <f t="shared" si="2"/>
        <v>379.60599515675113</v>
      </c>
    </row>
    <row r="7" spans="1:14" x14ac:dyDescent="0.25">
      <c r="A7" s="2">
        <v>44405</v>
      </c>
      <c r="B7">
        <v>4</v>
      </c>
      <c r="C7">
        <v>740</v>
      </c>
      <c r="D7">
        <v>33</v>
      </c>
      <c r="E7">
        <f t="shared" si="1"/>
        <v>22424.242424242424</v>
      </c>
      <c r="G7" s="2">
        <v>44406</v>
      </c>
      <c r="H7">
        <v>4</v>
      </c>
      <c r="I7">
        <v>513</v>
      </c>
      <c r="J7">
        <v>33</v>
      </c>
      <c r="K7">
        <f t="shared" si="0"/>
        <v>15545.454545454544</v>
      </c>
      <c r="L7">
        <f t="shared" si="3"/>
        <v>6878.7878787878799</v>
      </c>
      <c r="M7">
        <f t="shared" si="2"/>
        <v>297.13986517442248</v>
      </c>
    </row>
    <row r="8" spans="1:14" x14ac:dyDescent="0.25">
      <c r="A8" s="2">
        <v>44405</v>
      </c>
      <c r="B8">
        <v>5</v>
      </c>
      <c r="C8">
        <v>900</v>
      </c>
      <c r="D8">
        <v>33</v>
      </c>
      <c r="E8">
        <f t="shared" si="1"/>
        <v>27272.727272727272</v>
      </c>
      <c r="G8" s="2">
        <v>44406</v>
      </c>
      <c r="H8">
        <v>5</v>
      </c>
      <c r="I8">
        <v>603</v>
      </c>
      <c r="J8">
        <v>33</v>
      </c>
      <c r="K8">
        <f t="shared" si="0"/>
        <v>18272.727272727272</v>
      </c>
      <c r="L8">
        <f t="shared" si="3"/>
        <v>9000</v>
      </c>
      <c r="M8">
        <f t="shared" si="2"/>
        <v>388.76889848812095</v>
      </c>
    </row>
    <row r="9" spans="1:14" x14ac:dyDescent="0.25">
      <c r="A9" s="2">
        <v>44405</v>
      </c>
      <c r="B9">
        <v>6</v>
      </c>
      <c r="C9">
        <v>773</v>
      </c>
      <c r="D9">
        <v>33</v>
      </c>
      <c r="E9">
        <f t="shared" si="1"/>
        <v>23424.242424242424</v>
      </c>
      <c r="G9" s="2">
        <v>44406</v>
      </c>
      <c r="H9">
        <v>6</v>
      </c>
      <c r="I9">
        <v>492</v>
      </c>
      <c r="J9">
        <v>33</v>
      </c>
      <c r="K9">
        <f t="shared" si="0"/>
        <v>14909.090909090908</v>
      </c>
      <c r="L9">
        <f t="shared" si="3"/>
        <v>8515.1515151515159</v>
      </c>
      <c r="M9">
        <f t="shared" si="2"/>
        <v>367.82511944498992</v>
      </c>
      <c r="N9">
        <f>AVERAGE(M9:M13)</f>
        <v>395.57562667713859</v>
      </c>
    </row>
    <row r="10" spans="1:14" x14ac:dyDescent="0.25">
      <c r="A10" s="2">
        <v>44405</v>
      </c>
      <c r="B10">
        <v>7</v>
      </c>
      <c r="C10">
        <v>773</v>
      </c>
      <c r="D10">
        <v>33</v>
      </c>
      <c r="E10">
        <f t="shared" si="1"/>
        <v>23424.242424242424</v>
      </c>
      <c r="G10" s="2">
        <v>44406</v>
      </c>
      <c r="H10">
        <v>7</v>
      </c>
      <c r="I10">
        <v>473</v>
      </c>
      <c r="J10">
        <v>33</v>
      </c>
      <c r="K10">
        <f t="shared" si="0"/>
        <v>14333.333333333334</v>
      </c>
      <c r="L10">
        <f t="shared" si="3"/>
        <v>9090.9090909090901</v>
      </c>
      <c r="M10">
        <f t="shared" si="2"/>
        <v>392.69585705870804</v>
      </c>
    </row>
    <row r="11" spans="1:14" x14ac:dyDescent="0.25">
      <c r="A11" s="2">
        <v>44405</v>
      </c>
      <c r="B11">
        <v>8</v>
      </c>
      <c r="C11">
        <v>767</v>
      </c>
      <c r="D11">
        <v>33</v>
      </c>
      <c r="E11">
        <f t="shared" si="1"/>
        <v>23242.424242424244</v>
      </c>
      <c r="G11" s="2">
        <v>44406</v>
      </c>
      <c r="H11">
        <v>8</v>
      </c>
      <c r="I11">
        <v>513</v>
      </c>
      <c r="J11">
        <v>33</v>
      </c>
      <c r="K11">
        <f t="shared" si="0"/>
        <v>15545.454545454544</v>
      </c>
      <c r="L11">
        <f t="shared" si="3"/>
        <v>7696.9696969696997</v>
      </c>
      <c r="M11">
        <f t="shared" si="2"/>
        <v>332.48249230970629</v>
      </c>
    </row>
    <row r="12" spans="1:14" x14ac:dyDescent="0.25">
      <c r="A12" s="2">
        <v>44405</v>
      </c>
      <c r="B12">
        <v>9</v>
      </c>
      <c r="C12">
        <v>875</v>
      </c>
      <c r="D12">
        <v>33</v>
      </c>
      <c r="E12">
        <f t="shared" si="1"/>
        <v>26515.151515151516</v>
      </c>
      <c r="G12" s="2">
        <v>44406</v>
      </c>
      <c r="H12">
        <v>9</v>
      </c>
      <c r="I12">
        <v>512</v>
      </c>
      <c r="J12">
        <v>33</v>
      </c>
      <c r="K12">
        <f t="shared" si="0"/>
        <v>15515.151515151516</v>
      </c>
      <c r="L12">
        <f t="shared" si="3"/>
        <v>11000</v>
      </c>
      <c r="M12">
        <f t="shared" si="2"/>
        <v>475.16198704103675</v>
      </c>
    </row>
    <row r="13" spans="1:14" x14ac:dyDescent="0.25">
      <c r="A13" s="2">
        <v>44405</v>
      </c>
      <c r="B13">
        <v>10</v>
      </c>
      <c r="C13">
        <v>774</v>
      </c>
      <c r="D13">
        <v>33</v>
      </c>
      <c r="E13">
        <f t="shared" si="1"/>
        <v>23454.545454545452</v>
      </c>
      <c r="G13" s="2">
        <v>44406</v>
      </c>
      <c r="H13">
        <v>10</v>
      </c>
      <c r="I13">
        <v>461</v>
      </c>
      <c r="J13">
        <v>33</v>
      </c>
      <c r="K13">
        <f t="shared" si="0"/>
        <v>13969.696969696968</v>
      </c>
      <c r="L13">
        <f t="shared" si="3"/>
        <v>9484.8484848484841</v>
      </c>
      <c r="M13">
        <f t="shared" si="2"/>
        <v>409.71267753125204</v>
      </c>
    </row>
    <row r="14" spans="1:14" x14ac:dyDescent="0.25">
      <c r="A14" s="2">
        <v>44405</v>
      </c>
      <c r="B14">
        <v>11</v>
      </c>
      <c r="C14">
        <v>763</v>
      </c>
      <c r="D14">
        <v>33</v>
      </c>
      <c r="E14">
        <f t="shared" si="1"/>
        <v>23121.21212121212</v>
      </c>
      <c r="G14" s="2">
        <v>44406</v>
      </c>
      <c r="H14">
        <v>11</v>
      </c>
      <c r="I14">
        <v>506</v>
      </c>
      <c r="J14">
        <v>33</v>
      </c>
      <c r="K14">
        <f t="shared" si="0"/>
        <v>15333.333333333334</v>
      </c>
      <c r="L14">
        <f t="shared" si="3"/>
        <v>7787.8787878787862</v>
      </c>
      <c r="M14">
        <f t="shared" si="2"/>
        <v>336.40945088029315</v>
      </c>
      <c r="N14">
        <f>AVERAGE(M14:M18)</f>
        <v>334.57687021401927</v>
      </c>
    </row>
    <row r="15" spans="1:14" x14ac:dyDescent="0.25">
      <c r="A15" s="2">
        <v>44405</v>
      </c>
      <c r="B15">
        <v>12</v>
      </c>
      <c r="C15">
        <v>804</v>
      </c>
      <c r="D15">
        <v>33</v>
      </c>
      <c r="E15">
        <f t="shared" si="1"/>
        <v>24363.636363636364</v>
      </c>
      <c r="G15" s="2">
        <v>44406</v>
      </c>
      <c r="H15">
        <v>12</v>
      </c>
      <c r="I15">
        <v>501</v>
      </c>
      <c r="J15">
        <v>33</v>
      </c>
      <c r="K15">
        <f t="shared" si="0"/>
        <v>15181.818181818182</v>
      </c>
      <c r="L15">
        <f t="shared" si="3"/>
        <v>9181.818181818182</v>
      </c>
      <c r="M15">
        <f t="shared" si="2"/>
        <v>396.62281562929513</v>
      </c>
    </row>
    <row r="16" spans="1:14" x14ac:dyDescent="0.25">
      <c r="A16" s="2">
        <v>44405</v>
      </c>
      <c r="B16">
        <v>13</v>
      </c>
      <c r="C16">
        <v>716</v>
      </c>
      <c r="D16">
        <v>33</v>
      </c>
      <c r="E16">
        <f t="shared" si="1"/>
        <v>21696.969696969696</v>
      </c>
      <c r="G16" s="2">
        <v>44406</v>
      </c>
      <c r="H16">
        <v>13</v>
      </c>
      <c r="I16">
        <v>531</v>
      </c>
      <c r="J16">
        <v>33</v>
      </c>
      <c r="K16">
        <f t="shared" si="0"/>
        <v>16090.90909090909</v>
      </c>
      <c r="L16">
        <f t="shared" si="3"/>
        <v>5606.060606060606</v>
      </c>
      <c r="M16">
        <f t="shared" si="2"/>
        <v>242.16244518620329</v>
      </c>
    </row>
    <row r="17" spans="1:13" x14ac:dyDescent="0.25">
      <c r="A17" s="2">
        <v>44405</v>
      </c>
      <c r="B17">
        <v>14</v>
      </c>
      <c r="C17">
        <v>722</v>
      </c>
      <c r="D17">
        <v>33</v>
      </c>
      <c r="E17">
        <f t="shared" si="1"/>
        <v>21878.78787878788</v>
      </c>
      <c r="G17" s="2">
        <v>44406</v>
      </c>
      <c r="H17">
        <v>14</v>
      </c>
      <c r="I17">
        <v>453</v>
      </c>
      <c r="J17">
        <v>33</v>
      </c>
      <c r="K17">
        <f t="shared" si="0"/>
        <v>13727.272727272726</v>
      </c>
      <c r="L17">
        <f t="shared" si="3"/>
        <v>8151.5151515151538</v>
      </c>
      <c r="M17">
        <f t="shared" si="2"/>
        <v>352.11728516264168</v>
      </c>
    </row>
    <row r="18" spans="1:13" x14ac:dyDescent="0.25">
      <c r="A18" s="2">
        <v>44405</v>
      </c>
      <c r="B18">
        <v>15</v>
      </c>
      <c r="C18">
        <v>792</v>
      </c>
      <c r="D18">
        <v>33</v>
      </c>
      <c r="E18">
        <f t="shared" si="1"/>
        <v>24000</v>
      </c>
      <c r="G18" s="2">
        <v>44406</v>
      </c>
      <c r="H18">
        <v>15</v>
      </c>
      <c r="I18">
        <v>528</v>
      </c>
      <c r="J18">
        <v>33</v>
      </c>
      <c r="K18">
        <f t="shared" si="0"/>
        <v>16000</v>
      </c>
      <c r="L18">
        <f t="shared" si="3"/>
        <v>8000</v>
      </c>
      <c r="M18">
        <f t="shared" si="2"/>
        <v>345.57235421166308</v>
      </c>
    </row>
    <row r="27" spans="1:13" x14ac:dyDescent="0.25">
      <c r="C2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C1" workbookViewId="0">
      <selection activeCell="J14" sqref="J14"/>
    </sheetView>
  </sheetViews>
  <sheetFormatPr defaultRowHeight="15" x14ac:dyDescent="0.25"/>
  <cols>
    <col min="1" max="1" width="12" bestFit="1" customWidth="1"/>
    <col min="2" max="2" width="12" style="3" customWidth="1"/>
    <col min="3" max="3" width="16.28515625" customWidth="1"/>
    <col min="4" max="4" width="10" bestFit="1" customWidth="1"/>
    <col min="5" max="5" width="12" style="8" bestFit="1" customWidth="1"/>
    <col min="6" max="6" width="11" bestFit="1" customWidth="1"/>
    <col min="7" max="7" width="12" bestFit="1" customWidth="1"/>
    <col min="8" max="8" width="10" bestFit="1" customWidth="1"/>
    <col min="9" max="9" width="23.42578125" customWidth="1"/>
    <col min="10" max="10" width="10" bestFit="1" customWidth="1"/>
    <col min="13" max="13" width="13.42578125" customWidth="1"/>
    <col min="14" max="14" width="19.85546875" customWidth="1"/>
    <col min="16" max="16" width="37.28515625" customWidth="1"/>
    <col min="33" max="33" width="15.28515625" customWidth="1"/>
  </cols>
  <sheetData>
    <row r="1" spans="1:14" x14ac:dyDescent="0.25">
      <c r="C1" t="s">
        <v>85</v>
      </c>
      <c r="D1" t="s">
        <v>4</v>
      </c>
      <c r="I1" s="4" t="s">
        <v>85</v>
      </c>
      <c r="J1" t="s">
        <v>4</v>
      </c>
      <c r="N1" s="2"/>
    </row>
    <row r="2" spans="1:14" x14ac:dyDescent="0.25">
      <c r="A2" s="5"/>
      <c r="C2" t="s">
        <v>61</v>
      </c>
      <c r="D2" t="s">
        <v>5</v>
      </c>
      <c r="G2" s="5"/>
      <c r="H2" s="2"/>
      <c r="I2" s="5" t="s">
        <v>62</v>
      </c>
      <c r="J2" t="s">
        <v>5</v>
      </c>
      <c r="M2" t="s">
        <v>9</v>
      </c>
      <c r="N2" t="s">
        <v>60</v>
      </c>
    </row>
    <row r="3" spans="1:14" x14ac:dyDescent="0.25">
      <c r="A3" t="s">
        <v>2</v>
      </c>
      <c r="B3" s="3" t="s">
        <v>106</v>
      </c>
      <c r="D3" t="s">
        <v>0</v>
      </c>
      <c r="E3" s="8" t="s">
        <v>1</v>
      </c>
      <c r="F3" t="s">
        <v>3</v>
      </c>
      <c r="G3" s="6"/>
      <c r="H3" s="5"/>
      <c r="J3" t="s">
        <v>0</v>
      </c>
      <c r="K3" t="s">
        <v>1</v>
      </c>
      <c r="L3" t="s">
        <v>6</v>
      </c>
      <c r="M3" t="s">
        <v>10</v>
      </c>
      <c r="N3" s="5"/>
    </row>
    <row r="4" spans="1:14" x14ac:dyDescent="0.25">
      <c r="A4" s="2">
        <v>44432</v>
      </c>
      <c r="B4" s="3">
        <v>8</v>
      </c>
      <c r="C4">
        <v>1</v>
      </c>
      <c r="D4">
        <v>320</v>
      </c>
      <c r="E4" s="8">
        <v>33</v>
      </c>
      <c r="F4">
        <f>+D4/E4*1000</f>
        <v>9696.9696969696979</v>
      </c>
      <c r="H4" s="2">
        <v>44432</v>
      </c>
      <c r="I4" t="s">
        <v>96</v>
      </c>
      <c r="J4">
        <v>186</v>
      </c>
      <c r="K4">
        <v>33</v>
      </c>
      <c r="L4">
        <f>+J4/K4*1000</f>
        <v>5636.3636363636369</v>
      </c>
      <c r="M4">
        <f>+F4-L4</f>
        <v>4060.606060606061</v>
      </c>
      <c r="N4">
        <f t="shared" ref="N4:N6" si="0">+M4/F4*100</f>
        <v>41.875</v>
      </c>
    </row>
    <row r="5" spans="1:14" x14ac:dyDescent="0.25">
      <c r="A5" s="2">
        <v>44432</v>
      </c>
      <c r="B5" s="3">
        <v>8</v>
      </c>
      <c r="C5">
        <v>2</v>
      </c>
      <c r="D5">
        <v>673</v>
      </c>
      <c r="E5" s="8">
        <v>33</v>
      </c>
      <c r="F5">
        <f t="shared" ref="F5:F13" si="1">+D5/E5*1000</f>
        <v>20393.939393939396</v>
      </c>
      <c r="H5" s="2">
        <v>44432</v>
      </c>
      <c r="I5" t="s">
        <v>97</v>
      </c>
      <c r="J5">
        <v>269</v>
      </c>
      <c r="K5">
        <v>33</v>
      </c>
      <c r="L5">
        <f t="shared" ref="L5:L13" si="2">+J5/K5*1000</f>
        <v>8151.515151515152</v>
      </c>
      <c r="M5">
        <f t="shared" ref="M5:M13" si="3">+F5-L5</f>
        <v>12242.424242424244</v>
      </c>
      <c r="N5">
        <f t="shared" si="0"/>
        <v>60.029717682020802</v>
      </c>
    </row>
    <row r="6" spans="1:14" x14ac:dyDescent="0.25">
      <c r="A6" s="2">
        <v>44432</v>
      </c>
      <c r="B6" s="3">
        <v>8</v>
      </c>
      <c r="C6">
        <v>3</v>
      </c>
      <c r="D6">
        <v>451</v>
      </c>
      <c r="E6" s="8">
        <v>33</v>
      </c>
      <c r="F6">
        <f t="shared" si="1"/>
        <v>13666.666666666666</v>
      </c>
      <c r="H6" s="2">
        <v>44432</v>
      </c>
      <c r="I6" t="s">
        <v>98</v>
      </c>
      <c r="J6">
        <v>257</v>
      </c>
      <c r="K6">
        <v>33</v>
      </c>
      <c r="L6">
        <f t="shared" si="2"/>
        <v>7787.878787878788</v>
      </c>
      <c r="M6">
        <f t="shared" si="3"/>
        <v>5878.7878787878781</v>
      </c>
      <c r="N6">
        <f t="shared" si="0"/>
        <v>43.015521064301545</v>
      </c>
    </row>
    <row r="7" spans="1:14" x14ac:dyDescent="0.25">
      <c r="A7" s="2">
        <v>44432</v>
      </c>
      <c r="B7" s="3">
        <v>8</v>
      </c>
      <c r="C7">
        <v>4</v>
      </c>
      <c r="D7">
        <v>297</v>
      </c>
      <c r="E7" s="8">
        <v>33</v>
      </c>
      <c r="F7">
        <f t="shared" si="1"/>
        <v>9000</v>
      </c>
      <c r="H7" s="2">
        <v>44432</v>
      </c>
      <c r="I7" t="s">
        <v>99</v>
      </c>
      <c r="J7">
        <v>251</v>
      </c>
      <c r="K7">
        <v>33</v>
      </c>
      <c r="L7">
        <f t="shared" si="2"/>
        <v>7606.060606060606</v>
      </c>
      <c r="M7">
        <f>+F7-L7</f>
        <v>1393.939393939394</v>
      </c>
      <c r="N7">
        <f>+M7/F7*100</f>
        <v>15.48821548821549</v>
      </c>
    </row>
    <row r="8" spans="1:14" x14ac:dyDescent="0.25">
      <c r="A8" s="2">
        <v>44432</v>
      </c>
      <c r="B8" s="3">
        <v>7.5</v>
      </c>
      <c r="C8">
        <v>5</v>
      </c>
      <c r="D8">
        <v>454</v>
      </c>
      <c r="E8" s="8">
        <v>33</v>
      </c>
      <c r="F8">
        <f t="shared" si="1"/>
        <v>13757.575757575758</v>
      </c>
      <c r="H8" s="2">
        <v>44432</v>
      </c>
      <c r="I8" t="s">
        <v>100</v>
      </c>
      <c r="J8">
        <v>853</v>
      </c>
      <c r="K8">
        <v>33</v>
      </c>
      <c r="L8">
        <f t="shared" si="2"/>
        <v>25848.484848484848</v>
      </c>
      <c r="M8">
        <f t="shared" si="3"/>
        <v>-12090.90909090909</v>
      </c>
      <c r="N8">
        <f t="shared" ref="N8:N13" si="4">+M8/F8*100</f>
        <v>-87.88546255506607</v>
      </c>
    </row>
    <row r="9" spans="1:14" x14ac:dyDescent="0.25">
      <c r="A9" s="2">
        <v>44432</v>
      </c>
      <c r="B9" s="3">
        <v>7.5</v>
      </c>
      <c r="C9">
        <v>6</v>
      </c>
      <c r="D9">
        <v>442</v>
      </c>
      <c r="E9" s="8">
        <v>33</v>
      </c>
      <c r="F9">
        <f t="shared" si="1"/>
        <v>13393.939393939394</v>
      </c>
      <c r="H9" s="2">
        <v>44432</v>
      </c>
      <c r="I9" t="s">
        <v>101</v>
      </c>
      <c r="J9">
        <v>275</v>
      </c>
      <c r="K9">
        <v>33</v>
      </c>
      <c r="L9">
        <f t="shared" si="2"/>
        <v>8333.3333333333339</v>
      </c>
      <c r="M9">
        <f t="shared" si="3"/>
        <v>5060.6060606060601</v>
      </c>
      <c r="N9">
        <f t="shared" si="4"/>
        <v>37.782805429864247</v>
      </c>
    </row>
    <row r="10" spans="1:14" x14ac:dyDescent="0.25">
      <c r="A10" s="2">
        <v>44432</v>
      </c>
      <c r="B10" s="3">
        <v>7.5</v>
      </c>
      <c r="C10">
        <v>7</v>
      </c>
      <c r="D10">
        <v>339</v>
      </c>
      <c r="E10" s="8">
        <v>33</v>
      </c>
      <c r="F10">
        <f t="shared" si="1"/>
        <v>10272.727272727274</v>
      </c>
      <c r="H10" s="2">
        <v>44432</v>
      </c>
      <c r="I10" t="s">
        <v>102</v>
      </c>
      <c r="J10">
        <v>285</v>
      </c>
      <c r="K10">
        <v>33</v>
      </c>
      <c r="L10">
        <f t="shared" si="2"/>
        <v>8636.363636363636</v>
      </c>
      <c r="M10">
        <f t="shared" si="3"/>
        <v>1636.3636363636379</v>
      </c>
      <c r="N10">
        <f t="shared" si="4"/>
        <v>15.929203539823023</v>
      </c>
    </row>
    <row r="11" spans="1:14" x14ac:dyDescent="0.25">
      <c r="A11" s="2">
        <v>44432</v>
      </c>
      <c r="B11" s="3">
        <v>7.5</v>
      </c>
      <c r="C11">
        <v>8</v>
      </c>
      <c r="D11">
        <v>242</v>
      </c>
      <c r="E11" s="8">
        <v>33</v>
      </c>
      <c r="F11">
        <f t="shared" si="1"/>
        <v>7333.333333333333</v>
      </c>
      <c r="H11" s="2">
        <v>44432</v>
      </c>
      <c r="I11" t="s">
        <v>103</v>
      </c>
      <c r="J11">
        <v>210</v>
      </c>
      <c r="K11">
        <v>33</v>
      </c>
      <c r="L11">
        <f t="shared" si="2"/>
        <v>6363.6363636363631</v>
      </c>
      <c r="M11">
        <f t="shared" si="3"/>
        <v>969.69696969696997</v>
      </c>
      <c r="N11">
        <f t="shared" si="4"/>
        <v>13.223140495867773</v>
      </c>
    </row>
    <row r="12" spans="1:14" x14ac:dyDescent="0.25">
      <c r="A12" s="2">
        <v>44432</v>
      </c>
      <c r="B12" s="3">
        <v>7</v>
      </c>
      <c r="C12">
        <v>9</v>
      </c>
      <c r="D12">
        <v>240</v>
      </c>
      <c r="E12" s="8">
        <v>33</v>
      </c>
      <c r="F12">
        <f t="shared" si="1"/>
        <v>7272.7272727272721</v>
      </c>
      <c r="H12" s="2">
        <v>44432</v>
      </c>
      <c r="I12" t="s">
        <v>104</v>
      </c>
      <c r="J12">
        <v>319</v>
      </c>
      <c r="K12">
        <v>33</v>
      </c>
      <c r="L12">
        <f t="shared" si="2"/>
        <v>9666.6666666666661</v>
      </c>
      <c r="M12">
        <f t="shared" si="3"/>
        <v>-2393.939393939394</v>
      </c>
      <c r="N12">
        <f t="shared" si="4"/>
        <v>-32.916666666666671</v>
      </c>
    </row>
    <row r="13" spans="1:14" x14ac:dyDescent="0.25">
      <c r="A13" s="2">
        <v>44432</v>
      </c>
      <c r="B13" s="3">
        <v>7</v>
      </c>
      <c r="C13">
        <v>10</v>
      </c>
      <c r="D13">
        <v>272</v>
      </c>
      <c r="E13" s="8">
        <v>33</v>
      </c>
      <c r="F13">
        <f t="shared" si="1"/>
        <v>8242.424242424242</v>
      </c>
      <c r="H13" s="2">
        <v>44432</v>
      </c>
      <c r="I13" t="s">
        <v>105</v>
      </c>
      <c r="J13">
        <v>375</v>
      </c>
      <c r="K13">
        <v>33</v>
      </c>
      <c r="L13">
        <f t="shared" si="2"/>
        <v>11363.636363636364</v>
      </c>
      <c r="M13">
        <f t="shared" si="3"/>
        <v>-3121.2121212121219</v>
      </c>
      <c r="N13">
        <f t="shared" si="4"/>
        <v>-37.867647058823536</v>
      </c>
    </row>
    <row r="14" spans="1:14" x14ac:dyDescent="0.25">
      <c r="A14" s="2"/>
      <c r="H14" s="2"/>
    </row>
    <row r="15" spans="1:14" x14ac:dyDescent="0.25">
      <c r="A15" s="2"/>
      <c r="H15" s="2"/>
    </row>
    <row r="16" spans="1:14" x14ac:dyDescent="0.25">
      <c r="A16" s="2"/>
      <c r="H16" s="2"/>
    </row>
    <row r="17" spans="1:9" x14ac:dyDescent="0.25">
      <c r="A17" s="2"/>
      <c r="E17" s="8" t="s">
        <v>108</v>
      </c>
      <c r="H17" s="2"/>
    </row>
    <row r="18" spans="1:9" x14ac:dyDescent="0.25">
      <c r="A18" s="2"/>
      <c r="H18" s="2"/>
    </row>
    <row r="20" spans="1:9" x14ac:dyDescent="0.25">
      <c r="C20" s="7"/>
    </row>
    <row r="21" spans="1:9" x14ac:dyDescent="0.25">
      <c r="A21" s="6"/>
      <c r="C21" s="7"/>
    </row>
    <row r="25" spans="1:9" x14ac:dyDescent="0.25">
      <c r="I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J1" workbookViewId="0">
      <selection activeCell="P11" sqref="P11"/>
    </sheetView>
  </sheetViews>
  <sheetFormatPr defaultRowHeight="15" x14ac:dyDescent="0.25"/>
  <cols>
    <col min="1" max="1" width="12" bestFit="1" customWidth="1"/>
    <col min="2" max="2" width="12" style="3" customWidth="1"/>
    <col min="3" max="3" width="16.28515625" customWidth="1"/>
    <col min="4" max="4" width="10" bestFit="1" customWidth="1"/>
    <col min="5" max="5" width="12" style="8" bestFit="1" customWidth="1"/>
    <col min="6" max="6" width="11" bestFit="1" customWidth="1"/>
    <col min="7" max="7" width="12" bestFit="1" customWidth="1"/>
    <col min="8" max="8" width="10" bestFit="1" customWidth="1"/>
    <col min="9" max="9" width="23.42578125" customWidth="1"/>
    <col min="10" max="10" width="10" bestFit="1" customWidth="1"/>
    <col min="13" max="13" width="13.42578125" customWidth="1"/>
    <col min="14" max="14" width="19.85546875" customWidth="1"/>
    <col min="16" max="16" width="37.28515625" customWidth="1"/>
    <col min="33" max="33" width="15.28515625" customWidth="1"/>
  </cols>
  <sheetData>
    <row r="1" spans="1:14" x14ac:dyDescent="0.25">
      <c r="C1" t="s">
        <v>85</v>
      </c>
      <c r="D1" t="s">
        <v>4</v>
      </c>
      <c r="I1" s="4" t="s">
        <v>85</v>
      </c>
      <c r="J1" t="s">
        <v>4</v>
      </c>
      <c r="N1" s="2"/>
    </row>
    <row r="2" spans="1:14" x14ac:dyDescent="0.25">
      <c r="A2" s="5"/>
      <c r="C2" t="s">
        <v>61</v>
      </c>
      <c r="D2" t="s">
        <v>5</v>
      </c>
      <c r="G2" s="5"/>
      <c r="H2" s="2"/>
      <c r="I2" s="5" t="s">
        <v>62</v>
      </c>
      <c r="J2" t="s">
        <v>5</v>
      </c>
      <c r="M2" t="s">
        <v>9</v>
      </c>
      <c r="N2" t="s">
        <v>60</v>
      </c>
    </row>
    <row r="3" spans="1:14" x14ac:dyDescent="0.25">
      <c r="A3" t="s">
        <v>2</v>
      </c>
      <c r="B3" s="3" t="s">
        <v>106</v>
      </c>
      <c r="D3" t="s">
        <v>0</v>
      </c>
      <c r="E3" s="8" t="s">
        <v>1</v>
      </c>
      <c r="F3" t="s">
        <v>3</v>
      </c>
      <c r="G3" s="6"/>
      <c r="H3" s="5"/>
      <c r="J3" t="s">
        <v>0</v>
      </c>
      <c r="K3" t="s">
        <v>1</v>
      </c>
      <c r="L3" t="s">
        <v>6</v>
      </c>
      <c r="M3" t="s">
        <v>10</v>
      </c>
      <c r="N3" s="5"/>
    </row>
    <row r="4" spans="1:14" x14ac:dyDescent="0.25">
      <c r="A4" s="2">
        <v>44447</v>
      </c>
      <c r="B4" s="3">
        <v>8</v>
      </c>
      <c r="C4">
        <v>1</v>
      </c>
      <c r="D4">
        <v>188</v>
      </c>
      <c r="E4" s="8">
        <v>36</v>
      </c>
      <c r="F4">
        <f>+D4/E4*1000</f>
        <v>5222.2222222222226</v>
      </c>
      <c r="H4" s="2">
        <v>44432</v>
      </c>
      <c r="I4" t="s">
        <v>96</v>
      </c>
      <c r="J4">
        <v>144</v>
      </c>
      <c r="K4">
        <v>33</v>
      </c>
      <c r="L4">
        <f>+J4/K4*1000</f>
        <v>4363.6363636363631</v>
      </c>
      <c r="M4">
        <f>+F4-L4</f>
        <v>858.58585858585957</v>
      </c>
      <c r="N4">
        <f t="shared" ref="N4:N6" si="0">+M4/F4*100</f>
        <v>16.441005802707949</v>
      </c>
    </row>
    <row r="5" spans="1:14" x14ac:dyDescent="0.25">
      <c r="A5" s="2">
        <v>44447</v>
      </c>
      <c r="B5" s="3">
        <v>8</v>
      </c>
      <c r="C5">
        <v>2</v>
      </c>
      <c r="D5">
        <v>233</v>
      </c>
      <c r="E5" s="8">
        <v>33</v>
      </c>
      <c r="F5">
        <f t="shared" ref="F5:F13" si="1">+D5/E5*1000</f>
        <v>7060.606060606061</v>
      </c>
      <c r="H5" s="2">
        <v>44432</v>
      </c>
      <c r="I5" t="s">
        <v>97</v>
      </c>
      <c r="J5">
        <v>212</v>
      </c>
      <c r="K5">
        <v>33</v>
      </c>
      <c r="L5">
        <f t="shared" ref="L5:L13" si="2">+J5/K5*1000</f>
        <v>6424.242424242424</v>
      </c>
      <c r="M5">
        <f t="shared" ref="M5:M13" si="3">+F5-L5</f>
        <v>636.36363636363694</v>
      </c>
      <c r="N5">
        <f t="shared" si="0"/>
        <v>9.0128755364806938</v>
      </c>
    </row>
    <row r="6" spans="1:14" x14ac:dyDescent="0.25">
      <c r="A6" s="2">
        <v>44447</v>
      </c>
      <c r="B6" s="3">
        <v>8</v>
      </c>
      <c r="C6">
        <v>3</v>
      </c>
      <c r="D6">
        <v>253</v>
      </c>
      <c r="E6" s="8">
        <v>33</v>
      </c>
      <c r="F6">
        <f t="shared" si="1"/>
        <v>7666.666666666667</v>
      </c>
      <c r="H6" s="2">
        <v>44432</v>
      </c>
      <c r="I6" t="s">
        <v>98</v>
      </c>
      <c r="J6">
        <v>239</v>
      </c>
      <c r="K6">
        <v>33</v>
      </c>
      <c r="L6">
        <f t="shared" si="2"/>
        <v>7242.424242424242</v>
      </c>
      <c r="M6">
        <f t="shared" si="3"/>
        <v>424.24242424242493</v>
      </c>
      <c r="N6">
        <f t="shared" si="0"/>
        <v>5.5335968379446729</v>
      </c>
    </row>
    <row r="7" spans="1:14" x14ac:dyDescent="0.25">
      <c r="A7" s="2">
        <v>44447</v>
      </c>
      <c r="B7" s="3">
        <v>8</v>
      </c>
      <c r="C7">
        <v>4</v>
      </c>
      <c r="D7">
        <v>218</v>
      </c>
      <c r="E7" s="8">
        <v>33</v>
      </c>
      <c r="F7">
        <f t="shared" si="1"/>
        <v>6606.060606060606</v>
      </c>
      <c r="H7" s="2">
        <v>44432</v>
      </c>
      <c r="I7" t="s">
        <v>99</v>
      </c>
      <c r="J7">
        <v>199</v>
      </c>
      <c r="K7">
        <v>33</v>
      </c>
      <c r="L7">
        <f t="shared" si="2"/>
        <v>6030.30303030303</v>
      </c>
      <c r="M7">
        <f>+F7-L7</f>
        <v>575.75757575757598</v>
      </c>
      <c r="N7">
        <f>+M7/F7*100</f>
        <v>8.7155963302752326</v>
      </c>
    </row>
    <row r="8" spans="1:14" x14ac:dyDescent="0.25">
      <c r="A8" s="2">
        <v>44447</v>
      </c>
      <c r="B8" s="3">
        <v>7.5</v>
      </c>
      <c r="C8">
        <v>5</v>
      </c>
      <c r="D8">
        <v>250</v>
      </c>
      <c r="E8" s="8">
        <v>33</v>
      </c>
      <c r="F8">
        <f t="shared" si="1"/>
        <v>7575.757575757576</v>
      </c>
      <c r="H8" s="2">
        <v>44432</v>
      </c>
      <c r="I8" t="s">
        <v>100</v>
      </c>
      <c r="J8">
        <v>214</v>
      </c>
      <c r="K8">
        <v>33</v>
      </c>
      <c r="L8">
        <f t="shared" si="2"/>
        <v>6484.8484848484841</v>
      </c>
      <c r="M8">
        <f t="shared" si="3"/>
        <v>1090.9090909090919</v>
      </c>
      <c r="N8">
        <f t="shared" ref="N8:N13" si="4">+M8/F8*100</f>
        <v>14.400000000000013</v>
      </c>
    </row>
    <row r="9" spans="1:14" x14ac:dyDescent="0.25">
      <c r="A9" s="2">
        <v>44447</v>
      </c>
      <c r="B9" s="3">
        <v>7.5</v>
      </c>
      <c r="C9">
        <v>6</v>
      </c>
      <c r="D9">
        <v>263</v>
      </c>
      <c r="E9" s="8">
        <v>33</v>
      </c>
      <c r="F9">
        <f t="shared" si="1"/>
        <v>7969.69696969697</v>
      </c>
      <c r="H9" s="2">
        <v>44432</v>
      </c>
      <c r="I9" t="s">
        <v>101</v>
      </c>
      <c r="J9">
        <v>254</v>
      </c>
      <c r="K9">
        <v>33</v>
      </c>
      <c r="L9">
        <f t="shared" si="2"/>
        <v>7696.969696969697</v>
      </c>
      <c r="M9">
        <f t="shared" si="3"/>
        <v>272.72727272727298</v>
      </c>
      <c r="N9">
        <f t="shared" si="4"/>
        <v>3.4220532319391666</v>
      </c>
    </row>
    <row r="10" spans="1:14" x14ac:dyDescent="0.25">
      <c r="A10" s="2">
        <v>44447</v>
      </c>
      <c r="B10" s="3">
        <v>7.5</v>
      </c>
      <c r="C10">
        <v>7</v>
      </c>
      <c r="D10">
        <v>252</v>
      </c>
      <c r="E10" s="8">
        <v>33</v>
      </c>
      <c r="F10">
        <f t="shared" si="1"/>
        <v>7636.3636363636369</v>
      </c>
      <c r="H10" s="2">
        <v>44432</v>
      </c>
      <c r="I10" t="s">
        <v>102</v>
      </c>
      <c r="J10">
        <v>235</v>
      </c>
      <c r="K10">
        <v>33</v>
      </c>
      <c r="L10">
        <f t="shared" si="2"/>
        <v>7121.212121212121</v>
      </c>
      <c r="M10">
        <f t="shared" si="3"/>
        <v>515.15151515151592</v>
      </c>
      <c r="N10">
        <f t="shared" si="4"/>
        <v>6.7460317460317558</v>
      </c>
    </row>
    <row r="11" spans="1:14" x14ac:dyDescent="0.25">
      <c r="A11" s="2">
        <v>44447</v>
      </c>
      <c r="B11" s="3">
        <v>7.5</v>
      </c>
      <c r="C11">
        <v>8</v>
      </c>
      <c r="D11">
        <v>179</v>
      </c>
      <c r="E11" s="8">
        <v>33</v>
      </c>
      <c r="F11">
        <f t="shared" si="1"/>
        <v>5424.242424242424</v>
      </c>
      <c r="H11" s="2">
        <v>44432</v>
      </c>
      <c r="I11" t="s">
        <v>103</v>
      </c>
      <c r="J11">
        <v>175</v>
      </c>
      <c r="K11">
        <v>33</v>
      </c>
      <c r="L11">
        <f t="shared" si="2"/>
        <v>5303.030303030303</v>
      </c>
      <c r="M11">
        <f t="shared" si="3"/>
        <v>121.21212121212102</v>
      </c>
      <c r="N11">
        <f t="shared" si="4"/>
        <v>2.2346368715083766</v>
      </c>
    </row>
    <row r="12" spans="1:14" x14ac:dyDescent="0.25">
      <c r="A12" s="2">
        <v>44447</v>
      </c>
      <c r="B12" s="3">
        <v>7</v>
      </c>
      <c r="C12">
        <v>9</v>
      </c>
      <c r="D12">
        <v>239</v>
      </c>
      <c r="E12" s="8">
        <v>33</v>
      </c>
      <c r="F12">
        <f t="shared" si="1"/>
        <v>7242.424242424242</v>
      </c>
      <c r="H12" s="2">
        <v>44432</v>
      </c>
      <c r="I12" t="s">
        <v>104</v>
      </c>
      <c r="J12">
        <v>237</v>
      </c>
      <c r="K12">
        <v>33</v>
      </c>
      <c r="L12">
        <f t="shared" si="2"/>
        <v>7181.818181818182</v>
      </c>
      <c r="M12">
        <f t="shared" si="3"/>
        <v>60.606060606060055</v>
      </c>
      <c r="N12">
        <f t="shared" si="4"/>
        <v>0.83682008368200078</v>
      </c>
    </row>
    <row r="13" spans="1:14" x14ac:dyDescent="0.25">
      <c r="A13" s="2">
        <v>44447</v>
      </c>
      <c r="B13" s="3">
        <v>7</v>
      </c>
      <c r="C13">
        <v>10</v>
      </c>
      <c r="D13">
        <v>314</v>
      </c>
      <c r="E13" s="8">
        <v>33</v>
      </c>
      <c r="F13">
        <f t="shared" si="1"/>
        <v>9515.1515151515159</v>
      </c>
      <c r="H13" s="2">
        <v>44432</v>
      </c>
      <c r="I13" t="s">
        <v>105</v>
      </c>
      <c r="J13">
        <v>296</v>
      </c>
      <c r="K13">
        <v>33</v>
      </c>
      <c r="L13">
        <f t="shared" si="2"/>
        <v>8969.6969696969682</v>
      </c>
      <c r="M13">
        <f t="shared" si="3"/>
        <v>545.45454545454777</v>
      </c>
      <c r="N13">
        <f t="shared" si="4"/>
        <v>5.7324840764331446</v>
      </c>
    </row>
    <row r="14" spans="1:14" x14ac:dyDescent="0.25">
      <c r="A14" s="2"/>
      <c r="H14" s="2"/>
    </row>
    <row r="15" spans="1:14" x14ac:dyDescent="0.25">
      <c r="A15" s="2">
        <v>44447</v>
      </c>
      <c r="B15" s="8" t="s">
        <v>109</v>
      </c>
      <c r="C15">
        <v>68002</v>
      </c>
      <c r="D15">
        <v>68002</v>
      </c>
      <c r="E15" s="8">
        <v>33</v>
      </c>
      <c r="F15">
        <f t="shared" ref="F15" si="5">+D15/E15*1000</f>
        <v>2060666.6666666665</v>
      </c>
      <c r="H15" s="2"/>
    </row>
    <row r="16" spans="1:14" x14ac:dyDescent="0.25">
      <c r="A16" s="2"/>
      <c r="H16" s="2"/>
    </row>
    <row r="17" spans="1:9" x14ac:dyDescent="0.25">
      <c r="A17" s="2"/>
      <c r="H17" s="2"/>
    </row>
    <row r="18" spans="1:9" x14ac:dyDescent="0.25">
      <c r="A18" s="2"/>
      <c r="B18" s="3">
        <f>206066.67*2*60*24</f>
        <v>593472009.60000002</v>
      </c>
      <c r="H18" s="2"/>
    </row>
    <row r="19" spans="1:9" x14ac:dyDescent="0.25">
      <c r="B19" s="3">
        <f>+B18/50000</f>
        <v>11869.440192</v>
      </c>
    </row>
    <row r="20" spans="1:9" x14ac:dyDescent="0.25">
      <c r="C20" s="7"/>
    </row>
    <row r="21" spans="1:9" x14ac:dyDescent="0.25">
      <c r="A21" s="6"/>
      <c r="C21" s="7"/>
    </row>
    <row r="25" spans="1:9" x14ac:dyDescent="0.25">
      <c r="I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F1" workbookViewId="0">
      <selection activeCell="O7" sqref="O7"/>
    </sheetView>
  </sheetViews>
  <sheetFormatPr defaultRowHeight="15" x14ac:dyDescent="0.25"/>
  <cols>
    <col min="1" max="1" width="12" bestFit="1" customWidth="1"/>
    <col min="2" max="2" width="12" style="3" customWidth="1"/>
    <col min="3" max="3" width="16.28515625" customWidth="1"/>
    <col min="4" max="4" width="10" bestFit="1" customWidth="1"/>
    <col min="5" max="5" width="12" style="8" bestFit="1" customWidth="1"/>
    <col min="6" max="6" width="11" bestFit="1" customWidth="1"/>
    <col min="7" max="7" width="12" bestFit="1" customWidth="1"/>
    <col min="8" max="8" width="10" bestFit="1" customWidth="1"/>
    <col min="9" max="9" width="23.42578125" customWidth="1"/>
    <col min="10" max="10" width="10" bestFit="1" customWidth="1"/>
    <col min="13" max="13" width="13.42578125" customWidth="1"/>
    <col min="14" max="14" width="19.85546875" customWidth="1"/>
    <col min="16" max="16" width="37.28515625" customWidth="1"/>
    <col min="33" max="33" width="15.28515625" customWidth="1"/>
  </cols>
  <sheetData>
    <row r="1" spans="1:15" x14ac:dyDescent="0.25">
      <c r="C1" t="s">
        <v>85</v>
      </c>
      <c r="D1" t="s">
        <v>4</v>
      </c>
      <c r="I1" s="4" t="s">
        <v>85</v>
      </c>
      <c r="J1" t="s">
        <v>4</v>
      </c>
      <c r="N1" s="2"/>
    </row>
    <row r="2" spans="1:15" x14ac:dyDescent="0.25">
      <c r="A2" s="5"/>
      <c r="C2" t="s">
        <v>61</v>
      </c>
      <c r="D2" t="s">
        <v>5</v>
      </c>
      <c r="G2" s="5"/>
      <c r="H2" s="2"/>
      <c r="I2" s="5" t="s">
        <v>62</v>
      </c>
      <c r="J2" t="s">
        <v>5</v>
      </c>
      <c r="M2" t="s">
        <v>9</v>
      </c>
      <c r="N2" t="s">
        <v>60</v>
      </c>
    </row>
    <row r="3" spans="1:15" x14ac:dyDescent="0.25">
      <c r="A3" t="s">
        <v>2</v>
      </c>
      <c r="B3" s="3" t="s">
        <v>106</v>
      </c>
      <c r="D3" t="s">
        <v>0</v>
      </c>
      <c r="E3" s="8" t="s">
        <v>1</v>
      </c>
      <c r="F3" t="s">
        <v>3</v>
      </c>
      <c r="G3" s="6"/>
      <c r="H3" s="5"/>
      <c r="J3" t="s">
        <v>0</v>
      </c>
      <c r="K3" t="s">
        <v>1</v>
      </c>
      <c r="L3" t="s">
        <v>6</v>
      </c>
      <c r="M3" t="s">
        <v>10</v>
      </c>
      <c r="N3" s="5"/>
    </row>
    <row r="4" spans="1:15" x14ac:dyDescent="0.25">
      <c r="A4" s="2">
        <v>44449</v>
      </c>
      <c r="B4" s="3">
        <v>8</v>
      </c>
      <c r="C4">
        <v>1</v>
      </c>
      <c r="D4">
        <v>112</v>
      </c>
      <c r="E4" s="8">
        <v>33</v>
      </c>
      <c r="F4">
        <f>+D4/E4*1000</f>
        <v>3393.939393939394</v>
      </c>
      <c r="H4" s="2">
        <v>44449</v>
      </c>
      <c r="I4" t="s">
        <v>96</v>
      </c>
      <c r="J4">
        <v>88</v>
      </c>
      <c r="K4">
        <v>33</v>
      </c>
      <c r="L4">
        <f>+J4/K4*1000</f>
        <v>2666.6666666666665</v>
      </c>
      <c r="M4">
        <f>+F4-L4</f>
        <v>727.27272727272748</v>
      </c>
      <c r="N4">
        <f t="shared" ref="N4:N6" si="0">+M4/F4*100</f>
        <v>21.428571428571434</v>
      </c>
    </row>
    <row r="5" spans="1:15" x14ac:dyDescent="0.25">
      <c r="A5" s="2">
        <v>44449</v>
      </c>
      <c r="B5" s="3">
        <v>8</v>
      </c>
      <c r="C5">
        <v>2</v>
      </c>
      <c r="D5">
        <v>95</v>
      </c>
      <c r="E5" s="8">
        <v>33</v>
      </c>
      <c r="F5">
        <f t="shared" ref="F5:F13" si="1">+D5/E5*1000</f>
        <v>2878.787878787879</v>
      </c>
      <c r="H5" s="2">
        <v>44449</v>
      </c>
      <c r="I5" t="s">
        <v>97</v>
      </c>
      <c r="J5">
        <v>94</v>
      </c>
      <c r="K5">
        <v>33</v>
      </c>
      <c r="L5">
        <f t="shared" ref="L5:L13" si="2">+J5/K5*1000</f>
        <v>2848.4848484848485</v>
      </c>
      <c r="M5">
        <f t="shared" ref="M5:M13" si="3">+F5-L5</f>
        <v>30.303030303030482</v>
      </c>
      <c r="N5">
        <f t="shared" si="0"/>
        <v>1.0526315789473746</v>
      </c>
    </row>
    <row r="6" spans="1:15" x14ac:dyDescent="0.25">
      <c r="A6" s="2">
        <v>44449</v>
      </c>
      <c r="B6" s="3">
        <v>8</v>
      </c>
      <c r="C6">
        <v>3</v>
      </c>
      <c r="D6">
        <v>119</v>
      </c>
      <c r="E6" s="8">
        <v>33</v>
      </c>
      <c r="F6">
        <f t="shared" si="1"/>
        <v>3606.060606060606</v>
      </c>
      <c r="H6" s="2">
        <v>44449</v>
      </c>
      <c r="I6" t="s">
        <v>98</v>
      </c>
      <c r="J6">
        <v>96</v>
      </c>
      <c r="K6">
        <v>33</v>
      </c>
      <c r="L6">
        <f t="shared" si="2"/>
        <v>2909.090909090909</v>
      </c>
      <c r="M6">
        <f t="shared" si="3"/>
        <v>696.969696969697</v>
      </c>
      <c r="N6">
        <f t="shared" si="0"/>
        <v>19.327731092436977</v>
      </c>
    </row>
    <row r="7" spans="1:15" x14ac:dyDescent="0.25">
      <c r="A7" s="2">
        <v>44449</v>
      </c>
      <c r="B7" s="3">
        <v>8</v>
      </c>
      <c r="C7">
        <v>4</v>
      </c>
      <c r="D7">
        <v>125</v>
      </c>
      <c r="E7" s="8">
        <v>33</v>
      </c>
      <c r="F7">
        <f t="shared" si="1"/>
        <v>3787.878787878788</v>
      </c>
      <c r="H7" s="2">
        <v>44449</v>
      </c>
      <c r="I7" t="s">
        <v>99</v>
      </c>
      <c r="J7">
        <v>123</v>
      </c>
      <c r="K7">
        <v>33</v>
      </c>
      <c r="L7">
        <f t="shared" si="2"/>
        <v>3727.272727272727</v>
      </c>
      <c r="M7">
        <f>+F7-L7</f>
        <v>60.606060606060964</v>
      </c>
      <c r="N7">
        <f>+M7/F7*100</f>
        <v>1.6000000000000094</v>
      </c>
      <c r="O7">
        <v>55</v>
      </c>
    </row>
    <row r="8" spans="1:15" x14ac:dyDescent="0.25">
      <c r="A8" s="2">
        <v>44449</v>
      </c>
      <c r="B8" s="3">
        <v>7.5</v>
      </c>
      <c r="C8">
        <v>5</v>
      </c>
      <c r="D8">
        <v>120</v>
      </c>
      <c r="E8" s="8">
        <v>33</v>
      </c>
      <c r="F8">
        <f t="shared" si="1"/>
        <v>3636.363636363636</v>
      </c>
      <c r="H8" s="2">
        <v>44449</v>
      </c>
      <c r="I8" t="s">
        <v>100</v>
      </c>
      <c r="J8">
        <v>105</v>
      </c>
      <c r="K8">
        <v>33</v>
      </c>
      <c r="L8">
        <f t="shared" si="2"/>
        <v>3181.8181818181815</v>
      </c>
      <c r="M8">
        <f t="shared" si="3"/>
        <v>454.5454545454545</v>
      </c>
      <c r="N8">
        <f t="shared" ref="N8:N13" si="4">+M8/F8*100</f>
        <v>12.5</v>
      </c>
    </row>
    <row r="9" spans="1:15" x14ac:dyDescent="0.25">
      <c r="A9" s="2">
        <v>44449</v>
      </c>
      <c r="B9" s="3">
        <v>7.5</v>
      </c>
      <c r="C9">
        <v>6</v>
      </c>
      <c r="D9">
        <v>115</v>
      </c>
      <c r="E9" s="8">
        <v>33</v>
      </c>
      <c r="F9">
        <f t="shared" si="1"/>
        <v>3484.848484848485</v>
      </c>
      <c r="H9" s="2">
        <v>44449</v>
      </c>
      <c r="I9" t="s">
        <v>101</v>
      </c>
      <c r="J9">
        <v>107</v>
      </c>
      <c r="K9">
        <v>33</v>
      </c>
      <c r="L9">
        <f t="shared" si="2"/>
        <v>3242.424242424242</v>
      </c>
      <c r="M9">
        <f t="shared" si="3"/>
        <v>242.42424242424295</v>
      </c>
      <c r="N9">
        <f t="shared" si="4"/>
        <v>6.9565217391304497</v>
      </c>
    </row>
    <row r="10" spans="1:15" x14ac:dyDescent="0.25">
      <c r="A10" s="2">
        <v>44449</v>
      </c>
      <c r="B10" s="3">
        <v>7.5</v>
      </c>
      <c r="C10">
        <v>9</v>
      </c>
      <c r="D10">
        <v>136</v>
      </c>
      <c r="E10" s="8">
        <v>33</v>
      </c>
      <c r="F10">
        <f t="shared" si="1"/>
        <v>4121.212121212121</v>
      </c>
      <c r="H10" s="2">
        <v>44449</v>
      </c>
      <c r="I10" t="s">
        <v>102</v>
      </c>
      <c r="J10">
        <v>109</v>
      </c>
      <c r="K10">
        <v>33</v>
      </c>
      <c r="L10">
        <f t="shared" si="2"/>
        <v>3303.030303030303</v>
      </c>
      <c r="M10">
        <f t="shared" si="3"/>
        <v>818.18181818181802</v>
      </c>
      <c r="N10">
        <f t="shared" si="4"/>
        <v>19.852941176470583</v>
      </c>
    </row>
    <row r="11" spans="1:15" x14ac:dyDescent="0.25">
      <c r="A11" s="2">
        <v>44449</v>
      </c>
      <c r="B11" s="3">
        <v>7.5</v>
      </c>
      <c r="C11">
        <v>10</v>
      </c>
      <c r="D11">
        <v>112</v>
      </c>
      <c r="E11" s="8">
        <v>33</v>
      </c>
      <c r="F11">
        <f t="shared" si="1"/>
        <v>3393.939393939394</v>
      </c>
      <c r="H11" s="2">
        <v>44449</v>
      </c>
      <c r="I11" t="s">
        <v>103</v>
      </c>
      <c r="J11">
        <v>103</v>
      </c>
      <c r="K11">
        <v>33</v>
      </c>
      <c r="L11">
        <f t="shared" si="2"/>
        <v>3121.212121212121</v>
      </c>
      <c r="M11">
        <f t="shared" si="3"/>
        <v>272.72727272727298</v>
      </c>
      <c r="N11">
        <f t="shared" si="4"/>
        <v>8.0357142857142936</v>
      </c>
    </row>
    <row r="12" spans="1:15" x14ac:dyDescent="0.25">
      <c r="A12" s="2">
        <v>44449</v>
      </c>
      <c r="B12" s="3">
        <v>7</v>
      </c>
      <c r="C12">
        <v>11</v>
      </c>
      <c r="D12">
        <v>165</v>
      </c>
      <c r="E12" s="8">
        <v>33</v>
      </c>
      <c r="F12">
        <f t="shared" si="1"/>
        <v>5000</v>
      </c>
      <c r="H12" s="2">
        <v>44449</v>
      </c>
      <c r="I12" t="s">
        <v>104</v>
      </c>
      <c r="J12">
        <v>90</v>
      </c>
      <c r="K12">
        <v>33</v>
      </c>
      <c r="L12">
        <f t="shared" si="2"/>
        <v>2727.272727272727</v>
      </c>
      <c r="M12">
        <f t="shared" si="3"/>
        <v>2272.727272727273</v>
      </c>
      <c r="N12">
        <f t="shared" si="4"/>
        <v>45.45454545454546</v>
      </c>
    </row>
    <row r="13" spans="1:15" x14ac:dyDescent="0.25">
      <c r="A13" s="2">
        <v>44449</v>
      </c>
      <c r="B13" s="3">
        <v>7</v>
      </c>
      <c r="C13">
        <v>12</v>
      </c>
      <c r="D13">
        <v>116</v>
      </c>
      <c r="E13" s="8">
        <v>33</v>
      </c>
      <c r="F13">
        <f t="shared" si="1"/>
        <v>3515.151515151515</v>
      </c>
      <c r="H13" s="2">
        <v>44449</v>
      </c>
      <c r="I13" t="s">
        <v>105</v>
      </c>
      <c r="J13">
        <v>100</v>
      </c>
      <c r="K13">
        <v>33</v>
      </c>
      <c r="L13">
        <f t="shared" si="2"/>
        <v>3030.3030303030305</v>
      </c>
      <c r="M13">
        <f t="shared" si="3"/>
        <v>484.84848484848453</v>
      </c>
      <c r="N13">
        <f t="shared" si="4"/>
        <v>13.793103448275854</v>
      </c>
    </row>
    <row r="14" spans="1:15" x14ac:dyDescent="0.25">
      <c r="A14" s="2"/>
      <c r="H14" s="2"/>
    </row>
    <row r="15" spans="1:15" x14ac:dyDescent="0.25">
      <c r="A15" s="2">
        <v>44447</v>
      </c>
      <c r="B15" s="8" t="s">
        <v>109</v>
      </c>
      <c r="C15">
        <v>68002</v>
      </c>
      <c r="D15">
        <v>68002</v>
      </c>
      <c r="E15" s="8">
        <v>33</v>
      </c>
      <c r="F15">
        <f t="shared" ref="F15" si="5">+D15/E15*1000</f>
        <v>2060666.6666666665</v>
      </c>
      <c r="H15" s="2"/>
    </row>
    <row r="16" spans="1:15" x14ac:dyDescent="0.25">
      <c r="A16" s="2"/>
      <c r="H16" s="2"/>
    </row>
    <row r="17" spans="1:9" x14ac:dyDescent="0.25">
      <c r="A17" s="2"/>
      <c r="H17" s="2"/>
    </row>
    <row r="18" spans="1:9" x14ac:dyDescent="0.25">
      <c r="A18" s="2"/>
      <c r="B18" s="3">
        <f>206066.67*2*60*24</f>
        <v>593472009.60000002</v>
      </c>
      <c r="H18" s="2"/>
    </row>
    <row r="19" spans="1:9" x14ac:dyDescent="0.25">
      <c r="B19" s="3">
        <f>+B18/50000</f>
        <v>11869.440192</v>
      </c>
    </row>
    <row r="20" spans="1:9" x14ac:dyDescent="0.25">
      <c r="C20" s="7"/>
    </row>
    <row r="21" spans="1:9" x14ac:dyDescent="0.25">
      <c r="A21" s="6"/>
      <c r="C21" s="7"/>
    </row>
    <row r="25" spans="1:9" x14ac:dyDescent="0.25">
      <c r="I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D1" workbookViewId="0">
      <selection activeCell="H25" sqref="H25"/>
    </sheetView>
  </sheetViews>
  <sheetFormatPr defaultRowHeight="15" x14ac:dyDescent="0.25"/>
  <cols>
    <col min="1" max="1" width="12" bestFit="1" customWidth="1"/>
    <col min="2" max="2" width="12" style="3" customWidth="1"/>
    <col min="3" max="3" width="16.28515625" customWidth="1"/>
    <col min="4" max="4" width="10" bestFit="1" customWidth="1"/>
    <col min="5" max="5" width="12" style="8" bestFit="1" customWidth="1"/>
    <col min="6" max="6" width="11" bestFit="1" customWidth="1"/>
    <col min="7" max="7" width="12" bestFit="1" customWidth="1"/>
    <col min="8" max="8" width="10" bestFit="1" customWidth="1"/>
    <col min="9" max="9" width="23.42578125" customWidth="1"/>
    <col min="10" max="10" width="10" bestFit="1" customWidth="1"/>
    <col min="13" max="13" width="13.42578125" customWidth="1"/>
    <col min="14" max="14" width="19.85546875" customWidth="1"/>
    <col min="16" max="16" width="37.28515625" customWidth="1"/>
    <col min="33" max="33" width="15.28515625" customWidth="1"/>
  </cols>
  <sheetData>
    <row r="1" spans="1:15" x14ac:dyDescent="0.25">
      <c r="C1" t="s">
        <v>85</v>
      </c>
      <c r="D1" t="s">
        <v>4</v>
      </c>
      <c r="I1" s="4" t="s">
        <v>85</v>
      </c>
      <c r="J1" t="s">
        <v>4</v>
      </c>
      <c r="N1" s="2"/>
    </row>
    <row r="2" spans="1:15" x14ac:dyDescent="0.25">
      <c r="A2" s="5"/>
      <c r="C2" t="s">
        <v>61</v>
      </c>
      <c r="D2" t="s">
        <v>5</v>
      </c>
      <c r="G2" s="5"/>
      <c r="H2" s="2"/>
      <c r="I2" s="5" t="s">
        <v>62</v>
      </c>
      <c r="J2" t="s">
        <v>5</v>
      </c>
      <c r="M2" t="s">
        <v>9</v>
      </c>
      <c r="N2" t="s">
        <v>60</v>
      </c>
    </row>
    <row r="3" spans="1:15" x14ac:dyDescent="0.25">
      <c r="A3" t="s">
        <v>2</v>
      </c>
      <c r="B3" s="3" t="s">
        <v>106</v>
      </c>
      <c r="D3" t="s">
        <v>0</v>
      </c>
      <c r="E3" s="8" t="s">
        <v>1</v>
      </c>
      <c r="F3" t="s">
        <v>3</v>
      </c>
      <c r="G3" s="6"/>
      <c r="H3" s="5"/>
      <c r="J3" t="s">
        <v>0</v>
      </c>
      <c r="K3" t="s">
        <v>1</v>
      </c>
      <c r="L3" t="s">
        <v>6</v>
      </c>
      <c r="M3" t="s">
        <v>10</v>
      </c>
      <c r="N3" s="5"/>
    </row>
    <row r="4" spans="1:15" x14ac:dyDescent="0.25">
      <c r="A4" s="2">
        <v>44449</v>
      </c>
      <c r="B4" s="3">
        <v>8</v>
      </c>
      <c r="C4">
        <v>1</v>
      </c>
      <c r="D4">
        <v>185</v>
      </c>
      <c r="E4" s="8">
        <v>33</v>
      </c>
      <c r="F4">
        <f>+D4/E4*1000</f>
        <v>5606.060606060606</v>
      </c>
      <c r="H4" s="2">
        <v>44449</v>
      </c>
      <c r="I4" t="s">
        <v>96</v>
      </c>
      <c r="J4">
        <v>128</v>
      </c>
      <c r="K4">
        <v>33</v>
      </c>
      <c r="L4">
        <f>+J4/K4*1000</f>
        <v>3878.787878787879</v>
      </c>
      <c r="M4">
        <f>+F4-L4</f>
        <v>1727.272727272727</v>
      </c>
      <c r="N4">
        <f t="shared" ref="N4:N6" si="0">+M4/F4*100</f>
        <v>30.810810810810807</v>
      </c>
    </row>
    <row r="5" spans="1:15" x14ac:dyDescent="0.25">
      <c r="A5" s="2">
        <v>44449</v>
      </c>
      <c r="B5" s="3">
        <v>8</v>
      </c>
      <c r="C5">
        <v>2</v>
      </c>
      <c r="D5">
        <v>92</v>
      </c>
      <c r="E5" s="8">
        <v>33</v>
      </c>
      <c r="F5">
        <f t="shared" ref="F5:F13" si="1">+D5/E5*1000</f>
        <v>2787.878787878788</v>
      </c>
      <c r="H5" s="2">
        <v>44449</v>
      </c>
      <c r="I5" t="s">
        <v>97</v>
      </c>
      <c r="J5">
        <v>84</v>
      </c>
      <c r="K5">
        <v>33</v>
      </c>
      <c r="L5">
        <f t="shared" ref="L5:L13" si="2">+J5/K5*1000</f>
        <v>2545.4545454545455</v>
      </c>
      <c r="M5">
        <f t="shared" ref="M5:M13" si="3">+F5-L5</f>
        <v>242.42424242424249</v>
      </c>
      <c r="N5">
        <f t="shared" si="0"/>
        <v>8.6956521739130466</v>
      </c>
    </row>
    <row r="6" spans="1:15" x14ac:dyDescent="0.25">
      <c r="A6" s="2">
        <v>44449</v>
      </c>
      <c r="B6" s="3">
        <v>8</v>
      </c>
      <c r="C6">
        <v>3</v>
      </c>
      <c r="D6">
        <v>134</v>
      </c>
      <c r="E6" s="8">
        <v>33</v>
      </c>
      <c r="F6">
        <f t="shared" si="1"/>
        <v>4060.6060606060605</v>
      </c>
      <c r="H6" s="2">
        <v>44449</v>
      </c>
      <c r="I6" t="s">
        <v>98</v>
      </c>
      <c r="J6">
        <v>95</v>
      </c>
      <c r="K6">
        <v>33</v>
      </c>
      <c r="L6">
        <f t="shared" si="2"/>
        <v>2878.787878787879</v>
      </c>
      <c r="M6">
        <f t="shared" si="3"/>
        <v>1181.8181818181815</v>
      </c>
      <c r="N6">
        <f t="shared" si="0"/>
        <v>29.104477611940293</v>
      </c>
    </row>
    <row r="7" spans="1:15" x14ac:dyDescent="0.25">
      <c r="A7" s="2">
        <v>44449</v>
      </c>
      <c r="B7" s="3">
        <v>8</v>
      </c>
      <c r="C7">
        <v>4</v>
      </c>
      <c r="D7">
        <v>127</v>
      </c>
      <c r="E7" s="8">
        <v>33</v>
      </c>
      <c r="F7">
        <f t="shared" si="1"/>
        <v>3848.4848484848485</v>
      </c>
      <c r="H7" s="2">
        <v>44449</v>
      </c>
      <c r="I7" t="s">
        <v>99</v>
      </c>
      <c r="J7">
        <v>124</v>
      </c>
      <c r="K7">
        <v>33</v>
      </c>
      <c r="L7">
        <f t="shared" si="2"/>
        <v>3757.575757575758</v>
      </c>
      <c r="M7">
        <f>+F7-L7</f>
        <v>90.909090909090537</v>
      </c>
      <c r="N7">
        <f>+M7/F7*100</f>
        <v>2.3622047244094393</v>
      </c>
      <c r="O7">
        <v>55</v>
      </c>
    </row>
    <row r="8" spans="1:15" x14ac:dyDescent="0.25">
      <c r="A8" s="2">
        <v>44449</v>
      </c>
      <c r="B8" s="3">
        <v>7.5</v>
      </c>
      <c r="C8">
        <v>5</v>
      </c>
      <c r="D8">
        <v>160</v>
      </c>
      <c r="E8" s="8">
        <v>33</v>
      </c>
      <c r="F8">
        <f t="shared" si="1"/>
        <v>4848.484848484849</v>
      </c>
      <c r="H8" s="2">
        <v>44449</v>
      </c>
      <c r="I8" t="s">
        <v>100</v>
      </c>
      <c r="J8">
        <v>95</v>
      </c>
      <c r="K8">
        <v>33</v>
      </c>
      <c r="L8">
        <f t="shared" si="2"/>
        <v>2878.787878787879</v>
      </c>
      <c r="M8">
        <f t="shared" si="3"/>
        <v>1969.69696969697</v>
      </c>
      <c r="N8">
        <f t="shared" ref="N8:N13" si="4">+M8/F8*100</f>
        <v>40.625</v>
      </c>
    </row>
    <row r="9" spans="1:15" x14ac:dyDescent="0.25">
      <c r="A9" s="2">
        <v>44449</v>
      </c>
      <c r="B9" s="3">
        <v>7.5</v>
      </c>
      <c r="C9">
        <v>6</v>
      </c>
      <c r="D9">
        <v>73</v>
      </c>
      <c r="E9" s="8">
        <v>33</v>
      </c>
      <c r="F9">
        <f t="shared" si="1"/>
        <v>2212.121212121212</v>
      </c>
      <c r="H9" s="2">
        <v>44449</v>
      </c>
      <c r="I9" t="s">
        <v>101</v>
      </c>
      <c r="J9">
        <v>67</v>
      </c>
      <c r="K9">
        <v>33</v>
      </c>
      <c r="L9">
        <f t="shared" si="2"/>
        <v>2030.3030303030303</v>
      </c>
      <c r="M9">
        <f t="shared" si="3"/>
        <v>181.81818181818176</v>
      </c>
      <c r="N9">
        <f t="shared" si="4"/>
        <v>8.2191780821917781</v>
      </c>
    </row>
    <row r="10" spans="1:15" x14ac:dyDescent="0.25">
      <c r="A10" s="2">
        <v>44449</v>
      </c>
      <c r="B10" s="3">
        <v>7.5</v>
      </c>
      <c r="C10">
        <v>9</v>
      </c>
      <c r="D10">
        <v>123</v>
      </c>
      <c r="E10" s="8">
        <v>33</v>
      </c>
      <c r="F10">
        <f t="shared" si="1"/>
        <v>3727.272727272727</v>
      </c>
      <c r="H10" s="2">
        <v>44449</v>
      </c>
      <c r="I10" t="s">
        <v>102</v>
      </c>
      <c r="J10">
        <v>114</v>
      </c>
      <c r="K10">
        <v>33</v>
      </c>
      <c r="L10">
        <f t="shared" si="2"/>
        <v>3454.5454545454545</v>
      </c>
      <c r="M10">
        <f t="shared" si="3"/>
        <v>272.72727272727252</v>
      </c>
      <c r="N10">
        <f t="shared" si="4"/>
        <v>7.3170731707317032</v>
      </c>
    </row>
    <row r="11" spans="1:15" x14ac:dyDescent="0.25">
      <c r="A11" s="2">
        <v>44449</v>
      </c>
      <c r="B11" s="3">
        <v>7.5</v>
      </c>
      <c r="C11">
        <v>10</v>
      </c>
      <c r="D11">
        <v>140</v>
      </c>
      <c r="E11" s="8">
        <v>33</v>
      </c>
      <c r="F11">
        <f t="shared" si="1"/>
        <v>4242.424242424242</v>
      </c>
      <c r="H11" s="2">
        <v>44449</v>
      </c>
      <c r="I11" t="s">
        <v>103</v>
      </c>
      <c r="J11">
        <v>103</v>
      </c>
      <c r="K11">
        <v>33</v>
      </c>
      <c r="L11">
        <f t="shared" si="2"/>
        <v>3121.212121212121</v>
      </c>
      <c r="M11">
        <f t="shared" si="3"/>
        <v>1121.212121212121</v>
      </c>
      <c r="N11">
        <f t="shared" si="4"/>
        <v>26.428571428571431</v>
      </c>
    </row>
    <row r="12" spans="1:15" x14ac:dyDescent="0.25">
      <c r="A12" s="2">
        <v>44449</v>
      </c>
      <c r="B12" s="3">
        <v>7</v>
      </c>
      <c r="C12">
        <v>11</v>
      </c>
      <c r="D12">
        <v>88</v>
      </c>
      <c r="E12" s="8">
        <v>33</v>
      </c>
      <c r="F12">
        <f t="shared" si="1"/>
        <v>2666.6666666666665</v>
      </c>
      <c r="H12" s="2">
        <v>44449</v>
      </c>
      <c r="I12" t="s">
        <v>104</v>
      </c>
      <c r="J12">
        <v>72</v>
      </c>
      <c r="K12">
        <v>33</v>
      </c>
      <c r="L12">
        <f t="shared" si="2"/>
        <v>2181.8181818181815</v>
      </c>
      <c r="M12">
        <f t="shared" si="3"/>
        <v>484.84848484848499</v>
      </c>
      <c r="N12">
        <f t="shared" si="4"/>
        <v>18.181818181818187</v>
      </c>
    </row>
    <row r="13" spans="1:15" x14ac:dyDescent="0.25">
      <c r="A13" s="2">
        <v>44449</v>
      </c>
      <c r="B13" s="3">
        <v>7</v>
      </c>
      <c r="C13">
        <v>12</v>
      </c>
      <c r="D13">
        <v>118</v>
      </c>
      <c r="E13" s="8">
        <v>33</v>
      </c>
      <c r="F13">
        <f t="shared" si="1"/>
        <v>3575.7575757575755</v>
      </c>
      <c r="H13" s="2">
        <v>44449</v>
      </c>
      <c r="I13" t="s">
        <v>105</v>
      </c>
      <c r="J13">
        <v>87</v>
      </c>
      <c r="K13">
        <v>33</v>
      </c>
      <c r="L13">
        <f t="shared" si="2"/>
        <v>2636.363636363636</v>
      </c>
      <c r="M13">
        <f t="shared" si="3"/>
        <v>939.39393939393949</v>
      </c>
      <c r="N13">
        <f t="shared" si="4"/>
        <v>26.271186440677969</v>
      </c>
    </row>
    <row r="14" spans="1:15" x14ac:dyDescent="0.25">
      <c r="A14" s="2"/>
      <c r="H14" s="2"/>
    </row>
    <row r="15" spans="1:15" x14ac:dyDescent="0.25">
      <c r="A15" s="2">
        <v>44447</v>
      </c>
      <c r="B15" s="8" t="s">
        <v>109</v>
      </c>
      <c r="D15">
        <v>42489</v>
      </c>
      <c r="E15" s="8">
        <v>33</v>
      </c>
      <c r="F15">
        <f t="shared" ref="F15" si="5">+D15/E15*1000</f>
        <v>1287545.4545454546</v>
      </c>
      <c r="H15" s="2"/>
    </row>
    <row r="16" spans="1:15" x14ac:dyDescent="0.25">
      <c r="A16" s="2"/>
      <c r="H16" s="2"/>
    </row>
    <row r="17" spans="1:9" x14ac:dyDescent="0.25">
      <c r="A17" s="2"/>
      <c r="H17" s="2"/>
    </row>
    <row r="18" spans="1:9" x14ac:dyDescent="0.25">
      <c r="A18" s="2"/>
      <c r="B18" s="3">
        <f>206066.67*2*60*24</f>
        <v>593472009.60000002</v>
      </c>
      <c r="H18" s="2"/>
    </row>
    <row r="19" spans="1:9" x14ac:dyDescent="0.25">
      <c r="B19" s="3">
        <f>+B18/50000</f>
        <v>11869.440192</v>
      </c>
    </row>
    <row r="20" spans="1:9" x14ac:dyDescent="0.25">
      <c r="C20" s="7"/>
    </row>
    <row r="21" spans="1:9" x14ac:dyDescent="0.25">
      <c r="A21" s="6"/>
      <c r="C21" s="7"/>
    </row>
    <row r="25" spans="1:9" x14ac:dyDescent="0.25">
      <c r="I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C37" sqref="C37"/>
    </sheetView>
  </sheetViews>
  <sheetFormatPr defaultRowHeight="15" x14ac:dyDescent="0.25"/>
  <cols>
    <col min="1" max="1" width="12" bestFit="1" customWidth="1"/>
    <col min="2" max="2" width="12" style="3" customWidth="1"/>
    <col min="3" max="3" width="16.28515625" customWidth="1"/>
    <col min="4" max="4" width="10" bestFit="1" customWidth="1"/>
    <col min="5" max="5" width="12" style="8" bestFit="1" customWidth="1"/>
    <col min="6" max="6" width="11" bestFit="1" customWidth="1"/>
    <col min="7" max="7" width="23.42578125" customWidth="1"/>
    <col min="8" max="8" width="10" bestFit="1" customWidth="1"/>
    <col min="11" max="11" width="13.42578125" customWidth="1"/>
    <col min="12" max="12" width="19.85546875" customWidth="1"/>
    <col min="14" max="14" width="37.28515625" customWidth="1"/>
    <col min="31" max="31" width="15.28515625" customWidth="1"/>
  </cols>
  <sheetData>
    <row r="1" spans="1:13" x14ac:dyDescent="0.25">
      <c r="C1" t="s">
        <v>85</v>
      </c>
      <c r="D1" t="s">
        <v>4</v>
      </c>
      <c r="G1" s="4"/>
      <c r="H1" t="s">
        <v>4</v>
      </c>
      <c r="L1" s="2"/>
    </row>
    <row r="2" spans="1:13" x14ac:dyDescent="0.25">
      <c r="A2" s="5"/>
      <c r="C2" t="s">
        <v>61</v>
      </c>
      <c r="D2" t="s">
        <v>5</v>
      </c>
      <c r="G2" s="5"/>
      <c r="H2" t="s">
        <v>5</v>
      </c>
      <c r="K2" t="s">
        <v>9</v>
      </c>
      <c r="L2" t="s">
        <v>60</v>
      </c>
    </row>
    <row r="3" spans="1:13" x14ac:dyDescent="0.25">
      <c r="A3" t="s">
        <v>2</v>
      </c>
      <c r="B3" s="3" t="s">
        <v>106</v>
      </c>
      <c r="D3" t="s">
        <v>0</v>
      </c>
      <c r="E3" s="8" t="s">
        <v>1</v>
      </c>
      <c r="F3" t="s">
        <v>3</v>
      </c>
      <c r="H3" t="s">
        <v>0</v>
      </c>
      <c r="I3" t="s">
        <v>1</v>
      </c>
      <c r="J3" t="s">
        <v>6</v>
      </c>
      <c r="K3" t="s">
        <v>10</v>
      </c>
      <c r="L3" s="5"/>
    </row>
    <row r="4" spans="1:13" x14ac:dyDescent="0.25">
      <c r="A4" s="2">
        <v>44453</v>
      </c>
      <c r="B4" s="3" t="s">
        <v>110</v>
      </c>
      <c r="C4">
        <v>1</v>
      </c>
      <c r="D4">
        <v>96</v>
      </c>
      <c r="E4" s="8">
        <v>33</v>
      </c>
      <c r="F4">
        <f>+D4/E4*1000</f>
        <v>2909.090909090909</v>
      </c>
      <c r="H4">
        <v>113</v>
      </c>
      <c r="I4">
        <v>33</v>
      </c>
      <c r="J4">
        <f>+H4/I4*1000</f>
        <v>3424.2424242424245</v>
      </c>
      <c r="K4">
        <f t="shared" ref="K4:K13" si="0">+F4-J4</f>
        <v>-515.15151515151547</v>
      </c>
      <c r="L4">
        <f t="shared" ref="L4:L13" si="1">+K4/F4*100</f>
        <v>-17.708333333333346</v>
      </c>
    </row>
    <row r="5" spans="1:13" x14ac:dyDescent="0.25">
      <c r="A5" s="2">
        <v>44453</v>
      </c>
      <c r="B5" s="3" t="s">
        <v>111</v>
      </c>
      <c r="C5">
        <v>2</v>
      </c>
      <c r="D5">
        <v>117</v>
      </c>
      <c r="E5" s="8">
        <v>33</v>
      </c>
      <c r="F5">
        <f t="shared" ref="F5:F13" si="2">+D5/E5*1000</f>
        <v>3545.4545454545455</v>
      </c>
      <c r="H5">
        <v>120</v>
      </c>
      <c r="I5">
        <v>33</v>
      </c>
      <c r="J5">
        <f t="shared" ref="J5:J13" si="3">+H5/I5*1000</f>
        <v>3636.363636363636</v>
      </c>
      <c r="K5">
        <f t="shared" si="0"/>
        <v>-90.909090909090537</v>
      </c>
      <c r="L5">
        <f t="shared" si="1"/>
        <v>-2.5641025641025537</v>
      </c>
    </row>
    <row r="6" spans="1:13" x14ac:dyDescent="0.25">
      <c r="A6" s="2">
        <v>44453</v>
      </c>
      <c r="B6" s="3" t="s">
        <v>112</v>
      </c>
      <c r="C6">
        <v>3</v>
      </c>
      <c r="D6">
        <v>243</v>
      </c>
      <c r="E6" s="8">
        <v>33</v>
      </c>
      <c r="F6">
        <f t="shared" si="2"/>
        <v>7363.6363636363631</v>
      </c>
      <c r="H6">
        <v>98</v>
      </c>
      <c r="I6">
        <v>33</v>
      </c>
      <c r="J6">
        <f t="shared" si="3"/>
        <v>2969.6969696969695</v>
      </c>
      <c r="K6">
        <f t="shared" si="0"/>
        <v>4393.939393939394</v>
      </c>
      <c r="L6">
        <f t="shared" si="1"/>
        <v>59.670781893004119</v>
      </c>
    </row>
    <row r="7" spans="1:13" x14ac:dyDescent="0.25">
      <c r="A7" s="2">
        <v>44453</v>
      </c>
      <c r="B7" s="3" t="s">
        <v>113</v>
      </c>
      <c r="C7">
        <v>4</v>
      </c>
      <c r="D7">
        <v>153</v>
      </c>
      <c r="E7" s="8">
        <v>33</v>
      </c>
      <c r="F7">
        <f t="shared" si="2"/>
        <v>4636.3636363636369</v>
      </c>
      <c r="H7">
        <v>81</v>
      </c>
      <c r="I7">
        <v>33</v>
      </c>
      <c r="J7">
        <f t="shared" si="3"/>
        <v>2454.5454545454545</v>
      </c>
      <c r="K7">
        <f t="shared" si="0"/>
        <v>2181.8181818181824</v>
      </c>
      <c r="L7">
        <f t="shared" si="1"/>
        <v>47.058823529411768</v>
      </c>
      <c r="M7">
        <v>55</v>
      </c>
    </row>
    <row r="8" spans="1:13" x14ac:dyDescent="0.25">
      <c r="A8" s="2">
        <v>44453</v>
      </c>
      <c r="B8" s="3" t="s">
        <v>114</v>
      </c>
      <c r="C8">
        <v>5</v>
      </c>
      <c r="D8">
        <v>99</v>
      </c>
      <c r="E8" s="8">
        <v>33</v>
      </c>
      <c r="F8">
        <f t="shared" si="2"/>
        <v>3000</v>
      </c>
      <c r="H8">
        <v>117</v>
      </c>
      <c r="I8">
        <v>33</v>
      </c>
      <c r="J8">
        <f t="shared" si="3"/>
        <v>3545.4545454545455</v>
      </c>
      <c r="K8">
        <f t="shared" si="0"/>
        <v>-545.4545454545455</v>
      </c>
      <c r="L8">
        <f t="shared" si="1"/>
        <v>-18.181818181818183</v>
      </c>
    </row>
    <row r="9" spans="1:13" x14ac:dyDescent="0.25">
      <c r="A9" s="2">
        <v>44453</v>
      </c>
      <c r="B9" s="3" t="s">
        <v>115</v>
      </c>
      <c r="C9">
        <v>6</v>
      </c>
      <c r="D9">
        <v>93</v>
      </c>
      <c r="E9" s="8">
        <v>33</v>
      </c>
      <c r="F9">
        <f t="shared" si="2"/>
        <v>2818.1818181818185</v>
      </c>
      <c r="H9">
        <v>94</v>
      </c>
      <c r="I9">
        <v>33</v>
      </c>
      <c r="J9">
        <f t="shared" si="3"/>
        <v>2848.4848484848485</v>
      </c>
      <c r="K9">
        <f t="shared" si="0"/>
        <v>-30.303030303030027</v>
      </c>
      <c r="L9">
        <f t="shared" si="1"/>
        <v>-1.075268817204291</v>
      </c>
    </row>
    <row r="10" spans="1:13" x14ac:dyDescent="0.25">
      <c r="A10" s="2">
        <v>44453</v>
      </c>
      <c r="B10" s="3" t="s">
        <v>116</v>
      </c>
      <c r="C10">
        <v>9</v>
      </c>
      <c r="D10">
        <v>133</v>
      </c>
      <c r="E10" s="8">
        <v>33</v>
      </c>
      <c r="F10">
        <f t="shared" si="2"/>
        <v>4030.3030303030305</v>
      </c>
      <c r="H10">
        <v>96</v>
      </c>
      <c r="I10">
        <v>33</v>
      </c>
      <c r="J10">
        <f t="shared" si="3"/>
        <v>2909.090909090909</v>
      </c>
      <c r="K10">
        <f t="shared" si="0"/>
        <v>1121.2121212121215</v>
      </c>
      <c r="L10">
        <f t="shared" si="1"/>
        <v>27.819548872180455</v>
      </c>
    </row>
    <row r="11" spans="1:13" x14ac:dyDescent="0.25">
      <c r="A11" s="2">
        <v>44453</v>
      </c>
      <c r="B11" s="3" t="s">
        <v>117</v>
      </c>
      <c r="C11">
        <v>10</v>
      </c>
      <c r="D11">
        <v>94</v>
      </c>
      <c r="E11" s="8">
        <v>33</v>
      </c>
      <c r="F11">
        <f t="shared" si="2"/>
        <v>2848.4848484848485</v>
      </c>
      <c r="H11">
        <v>121</v>
      </c>
      <c r="I11">
        <v>33</v>
      </c>
      <c r="J11">
        <f t="shared" si="3"/>
        <v>3666.6666666666665</v>
      </c>
      <c r="K11">
        <f t="shared" si="0"/>
        <v>-818.18181818181802</v>
      </c>
      <c r="L11">
        <f t="shared" si="1"/>
        <v>-28.723404255319139</v>
      </c>
    </row>
    <row r="12" spans="1:13" x14ac:dyDescent="0.25">
      <c r="A12" s="2">
        <v>44453</v>
      </c>
      <c r="B12" s="3" t="s">
        <v>119</v>
      </c>
      <c r="C12">
        <v>11</v>
      </c>
      <c r="D12">
        <v>101</v>
      </c>
      <c r="E12" s="8">
        <v>33</v>
      </c>
      <c r="F12">
        <f t="shared" si="2"/>
        <v>3060.6060606060605</v>
      </c>
      <c r="H12">
        <v>92</v>
      </c>
      <c r="I12">
        <v>33</v>
      </c>
      <c r="J12">
        <f t="shared" si="3"/>
        <v>2787.878787878788</v>
      </c>
      <c r="K12">
        <f t="shared" si="0"/>
        <v>272.72727272727252</v>
      </c>
      <c r="L12">
        <f t="shared" si="1"/>
        <v>8.9108910891089046</v>
      </c>
    </row>
    <row r="13" spans="1:13" x14ac:dyDescent="0.25">
      <c r="A13" s="2">
        <v>44453</v>
      </c>
      <c r="B13" s="3" t="s">
        <v>118</v>
      </c>
      <c r="C13">
        <v>12</v>
      </c>
      <c r="D13">
        <v>98</v>
      </c>
      <c r="E13" s="8">
        <v>33</v>
      </c>
      <c r="F13">
        <f t="shared" si="2"/>
        <v>2969.6969696969695</v>
      </c>
      <c r="H13">
        <v>82</v>
      </c>
      <c r="I13">
        <v>33</v>
      </c>
      <c r="J13">
        <f t="shared" si="3"/>
        <v>2484.848484848485</v>
      </c>
      <c r="K13">
        <f t="shared" si="0"/>
        <v>484.84848484848453</v>
      </c>
      <c r="L13">
        <f t="shared" si="1"/>
        <v>16.326530612244888</v>
      </c>
    </row>
    <row r="14" spans="1:13" x14ac:dyDescent="0.25">
      <c r="A14" s="2"/>
    </row>
    <row r="15" spans="1:13" x14ac:dyDescent="0.25">
      <c r="A15" s="2">
        <v>44453</v>
      </c>
      <c r="B15" s="8" t="s">
        <v>109</v>
      </c>
      <c r="D15">
        <v>36168</v>
      </c>
      <c r="E15" s="8">
        <v>33</v>
      </c>
      <c r="F15">
        <f t="shared" ref="F15" si="4">+D15/E15*1000</f>
        <v>1096000</v>
      </c>
    </row>
    <row r="16" spans="1:13" x14ac:dyDescent="0.25">
      <c r="A16" s="2"/>
    </row>
    <row r="17" spans="1:7" x14ac:dyDescent="0.25">
      <c r="A17" s="2"/>
    </row>
    <row r="18" spans="1:7" x14ac:dyDescent="0.25">
      <c r="A18" s="2"/>
      <c r="B18" s="3">
        <f>206066.67*2*60*24</f>
        <v>593472009.60000002</v>
      </c>
    </row>
    <row r="19" spans="1:7" x14ac:dyDescent="0.25">
      <c r="B19" s="3">
        <f>+B18/50000</f>
        <v>11869.440192</v>
      </c>
    </row>
    <row r="20" spans="1:7" x14ac:dyDescent="0.25">
      <c r="C20" s="7"/>
    </row>
    <row r="21" spans="1:7" x14ac:dyDescent="0.25">
      <c r="A21" s="6"/>
      <c r="C21" s="7"/>
    </row>
    <row r="25" spans="1:7" x14ac:dyDescent="0.25">
      <c r="G25" s="6"/>
    </row>
    <row r="57" spans="1:1" x14ac:dyDescent="0.25">
      <c r="A57" s="6"/>
    </row>
    <row r="63" spans="1:1" x14ac:dyDescent="0.25">
      <c r="A63" s="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G22" sqref="G22"/>
    </sheetView>
  </sheetViews>
  <sheetFormatPr defaultRowHeight="15" x14ac:dyDescent="0.25"/>
  <cols>
    <col min="1" max="1" width="12" bestFit="1" customWidth="1"/>
    <col min="2" max="2" width="12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2" x14ac:dyDescent="0.25">
      <c r="C1" t="s">
        <v>4</v>
      </c>
      <c r="F1" s="4"/>
      <c r="G1" t="s">
        <v>4</v>
      </c>
      <c r="K1" s="2"/>
    </row>
    <row r="2" spans="1:12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2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2" x14ac:dyDescent="0.25">
      <c r="A4" s="2">
        <v>44455</v>
      </c>
      <c r="B4" s="3" t="s">
        <v>118</v>
      </c>
      <c r="C4">
        <v>279</v>
      </c>
      <c r="D4" s="8">
        <v>33</v>
      </c>
      <c r="E4">
        <f>+C4/D4*1000</f>
        <v>8454.5454545454559</v>
      </c>
      <c r="G4">
        <v>213</v>
      </c>
      <c r="H4">
        <v>33</v>
      </c>
      <c r="I4">
        <f>+G4/H4*1000</f>
        <v>6454.545454545454</v>
      </c>
      <c r="J4">
        <f t="shared" ref="J4:J12" si="0">+E4-I4</f>
        <v>2000.0000000000018</v>
      </c>
      <c r="K4">
        <f t="shared" ref="K4:K12" si="1">+J4/E4*100</f>
        <v>23.655913978494642</v>
      </c>
    </row>
    <row r="5" spans="1:12" x14ac:dyDescent="0.25">
      <c r="A5" s="2">
        <v>44455</v>
      </c>
      <c r="B5" s="3" t="s">
        <v>119</v>
      </c>
      <c r="C5">
        <v>275</v>
      </c>
      <c r="D5" s="8">
        <v>33</v>
      </c>
      <c r="E5">
        <f t="shared" ref="E5:E12" si="2">+C5/D5*1000</f>
        <v>8333.3333333333339</v>
      </c>
      <c r="G5">
        <v>184</v>
      </c>
      <c r="H5">
        <v>33</v>
      </c>
      <c r="I5">
        <f t="shared" ref="I5:I12" si="3">+G5/H5*1000</f>
        <v>5575.757575757576</v>
      </c>
      <c r="J5">
        <f t="shared" si="0"/>
        <v>2757.575757575758</v>
      </c>
      <c r="K5">
        <f t="shared" si="1"/>
        <v>33.090909090909093</v>
      </c>
    </row>
    <row r="6" spans="1:12" x14ac:dyDescent="0.25">
      <c r="A6" s="2">
        <v>44455</v>
      </c>
      <c r="B6" s="3" t="s">
        <v>116</v>
      </c>
      <c r="C6">
        <v>227</v>
      </c>
      <c r="D6" s="8">
        <v>33</v>
      </c>
      <c r="E6">
        <f t="shared" si="2"/>
        <v>6878.787878787879</v>
      </c>
      <c r="G6">
        <v>224</v>
      </c>
      <c r="H6">
        <v>33</v>
      </c>
      <c r="I6">
        <f t="shared" si="3"/>
        <v>6787.878787878788</v>
      </c>
      <c r="J6">
        <f t="shared" si="0"/>
        <v>90.909090909090992</v>
      </c>
      <c r="K6">
        <f t="shared" si="1"/>
        <v>1.3215859030837016</v>
      </c>
    </row>
    <row r="7" spans="1:12" x14ac:dyDescent="0.25">
      <c r="A7" s="2">
        <v>44455</v>
      </c>
      <c r="B7" s="3" t="s">
        <v>117</v>
      </c>
      <c r="C7">
        <v>167</v>
      </c>
      <c r="D7" s="8">
        <v>33</v>
      </c>
      <c r="E7">
        <f t="shared" si="2"/>
        <v>5060.606060606061</v>
      </c>
      <c r="G7">
        <v>158</v>
      </c>
      <c r="H7">
        <v>33</v>
      </c>
      <c r="I7">
        <f t="shared" si="3"/>
        <v>4787.878787878788</v>
      </c>
      <c r="J7">
        <f t="shared" si="0"/>
        <v>272.72727272727298</v>
      </c>
      <c r="K7">
        <f t="shared" si="1"/>
        <v>5.3892215568862323</v>
      </c>
      <c r="L7">
        <v>55</v>
      </c>
    </row>
    <row r="8" spans="1:12" x14ac:dyDescent="0.25">
      <c r="A8" s="2">
        <v>44455</v>
      </c>
      <c r="B8" s="3" t="s">
        <v>113</v>
      </c>
      <c r="C8">
        <v>212</v>
      </c>
      <c r="D8" s="8">
        <v>33</v>
      </c>
      <c r="E8">
        <f t="shared" si="2"/>
        <v>6424.242424242424</v>
      </c>
      <c r="G8">
        <v>222</v>
      </c>
      <c r="H8">
        <v>33</v>
      </c>
      <c r="I8">
        <f t="shared" si="3"/>
        <v>6727.2727272727279</v>
      </c>
      <c r="J8">
        <f t="shared" si="0"/>
        <v>-303.03030303030391</v>
      </c>
      <c r="K8">
        <f t="shared" si="1"/>
        <v>-4.7169811320754862</v>
      </c>
    </row>
    <row r="9" spans="1:12" x14ac:dyDescent="0.25">
      <c r="A9" s="2">
        <v>44455</v>
      </c>
      <c r="B9" s="3" t="s">
        <v>115</v>
      </c>
      <c r="C9">
        <v>186</v>
      </c>
      <c r="D9" s="8">
        <v>33</v>
      </c>
      <c r="E9">
        <f t="shared" si="2"/>
        <v>5636.3636363636369</v>
      </c>
      <c r="G9">
        <v>154</v>
      </c>
      <c r="H9">
        <v>33</v>
      </c>
      <c r="I9">
        <f t="shared" si="3"/>
        <v>4666.666666666667</v>
      </c>
      <c r="J9">
        <f t="shared" si="0"/>
        <v>969.69696969696997</v>
      </c>
      <c r="K9">
        <f t="shared" si="1"/>
        <v>17.20430107526882</v>
      </c>
    </row>
    <row r="10" spans="1:12" x14ac:dyDescent="0.25">
      <c r="A10" s="2">
        <v>44455</v>
      </c>
      <c r="B10" s="3" t="s">
        <v>114</v>
      </c>
      <c r="C10">
        <v>192</v>
      </c>
      <c r="D10" s="8">
        <v>33</v>
      </c>
      <c r="E10">
        <f t="shared" si="2"/>
        <v>5818.181818181818</v>
      </c>
      <c r="G10">
        <v>172</v>
      </c>
      <c r="H10">
        <v>33</v>
      </c>
      <c r="I10">
        <f t="shared" si="3"/>
        <v>5212.121212121212</v>
      </c>
      <c r="J10">
        <f t="shared" si="0"/>
        <v>606.06060606060601</v>
      </c>
      <c r="K10">
        <f t="shared" si="1"/>
        <v>10.416666666666666</v>
      </c>
    </row>
    <row r="11" spans="1:12" x14ac:dyDescent="0.25">
      <c r="A11" s="2">
        <v>44455</v>
      </c>
      <c r="B11" s="3" t="s">
        <v>112</v>
      </c>
      <c r="C11">
        <v>223</v>
      </c>
      <c r="D11" s="8">
        <v>33</v>
      </c>
      <c r="E11">
        <f t="shared" si="2"/>
        <v>6757.575757575758</v>
      </c>
      <c r="G11">
        <v>194</v>
      </c>
      <c r="H11">
        <v>33</v>
      </c>
      <c r="I11">
        <f t="shared" si="3"/>
        <v>5878.787878787879</v>
      </c>
      <c r="J11">
        <f t="shared" si="0"/>
        <v>878.78787878787898</v>
      </c>
      <c r="K11">
        <f t="shared" si="1"/>
        <v>13.004484304932737</v>
      </c>
    </row>
    <row r="12" spans="1:12" x14ac:dyDescent="0.25">
      <c r="A12" s="2">
        <v>44455</v>
      </c>
      <c r="B12" s="3" t="s">
        <v>120</v>
      </c>
      <c r="C12">
        <v>297</v>
      </c>
      <c r="D12" s="8">
        <v>33</v>
      </c>
      <c r="E12">
        <f t="shared" si="2"/>
        <v>9000</v>
      </c>
      <c r="G12">
        <v>284</v>
      </c>
      <c r="H12">
        <v>33</v>
      </c>
      <c r="I12">
        <f t="shared" si="3"/>
        <v>8606.060606060606</v>
      </c>
      <c r="J12">
        <f t="shared" si="0"/>
        <v>393.93939393939399</v>
      </c>
      <c r="K12">
        <f t="shared" si="1"/>
        <v>4.3771043771043781</v>
      </c>
    </row>
    <row r="13" spans="1:12" x14ac:dyDescent="0.25">
      <c r="A13" s="2"/>
    </row>
    <row r="14" spans="1:12" x14ac:dyDescent="0.25">
      <c r="A14" s="2"/>
    </row>
    <row r="15" spans="1:12" x14ac:dyDescent="0.25">
      <c r="A15" s="2">
        <v>44455</v>
      </c>
      <c r="B15" s="3" t="s">
        <v>118</v>
      </c>
      <c r="C15">
        <v>162</v>
      </c>
      <c r="D15" s="8">
        <v>33</v>
      </c>
      <c r="E15">
        <f>+C15/D15*1000</f>
        <v>4909.090909090909</v>
      </c>
      <c r="G15">
        <v>82</v>
      </c>
      <c r="H15">
        <v>33</v>
      </c>
      <c r="I15">
        <f>+G15/H15*1000</f>
        <v>2484.848484848485</v>
      </c>
      <c r="J15">
        <f t="shared" ref="J15:J22" si="4">+E15-I15</f>
        <v>2424.242424242424</v>
      </c>
      <c r="K15">
        <f t="shared" ref="K15:K22" si="5">+J15/E15*100</f>
        <v>49.382716049382715</v>
      </c>
    </row>
    <row r="16" spans="1:12" x14ac:dyDescent="0.25">
      <c r="A16" s="2">
        <v>44455</v>
      </c>
      <c r="B16" s="3" t="s">
        <v>119</v>
      </c>
      <c r="C16">
        <v>74</v>
      </c>
      <c r="D16" s="8">
        <v>33</v>
      </c>
      <c r="E16">
        <f t="shared" ref="E16:E22" si="6">+C16/D16*1000</f>
        <v>2242.424242424242</v>
      </c>
      <c r="G16">
        <v>88</v>
      </c>
      <c r="H16">
        <v>33</v>
      </c>
      <c r="I16">
        <f t="shared" ref="I16:I22" si="7">+G16/H16*1000</f>
        <v>2666.6666666666665</v>
      </c>
      <c r="J16">
        <f t="shared" si="4"/>
        <v>-424.24242424242448</v>
      </c>
      <c r="K16">
        <f t="shared" si="5"/>
        <v>-18.918918918918934</v>
      </c>
    </row>
    <row r="17" spans="1:12" x14ac:dyDescent="0.25">
      <c r="A17" s="2">
        <v>44455</v>
      </c>
      <c r="B17" s="3" t="s">
        <v>116</v>
      </c>
      <c r="C17">
        <v>96</v>
      </c>
      <c r="D17" s="8">
        <v>33</v>
      </c>
      <c r="E17">
        <f t="shared" si="6"/>
        <v>2909.090909090909</v>
      </c>
      <c r="G17">
        <v>91</v>
      </c>
      <c r="H17">
        <v>33</v>
      </c>
      <c r="I17">
        <f t="shared" si="7"/>
        <v>2757.575757575758</v>
      </c>
      <c r="J17">
        <f t="shared" si="4"/>
        <v>151.51515151515105</v>
      </c>
      <c r="K17">
        <f t="shared" si="5"/>
        <v>5.2083333333333179</v>
      </c>
    </row>
    <row r="18" spans="1:12" x14ac:dyDescent="0.25">
      <c r="A18" s="2">
        <v>44455</v>
      </c>
      <c r="B18" s="3" t="s">
        <v>117</v>
      </c>
      <c r="C18">
        <v>100</v>
      </c>
      <c r="D18" s="8">
        <v>33</v>
      </c>
      <c r="E18">
        <f t="shared" si="6"/>
        <v>3030.3030303030305</v>
      </c>
      <c r="G18">
        <v>82</v>
      </c>
      <c r="H18">
        <v>33</v>
      </c>
      <c r="I18">
        <f t="shared" si="7"/>
        <v>2484.848484848485</v>
      </c>
      <c r="J18">
        <f t="shared" si="4"/>
        <v>545.4545454545455</v>
      </c>
      <c r="K18">
        <f t="shared" si="5"/>
        <v>18</v>
      </c>
      <c r="L18">
        <v>55</v>
      </c>
    </row>
    <row r="19" spans="1:12" x14ac:dyDescent="0.25">
      <c r="A19" s="2">
        <v>44455</v>
      </c>
      <c r="B19" s="3" t="s">
        <v>113</v>
      </c>
      <c r="C19">
        <v>120</v>
      </c>
      <c r="D19" s="8">
        <v>33</v>
      </c>
      <c r="E19">
        <f t="shared" si="6"/>
        <v>3636.363636363636</v>
      </c>
      <c r="G19">
        <v>107</v>
      </c>
      <c r="H19">
        <v>33</v>
      </c>
      <c r="I19">
        <f t="shared" si="7"/>
        <v>3242.424242424242</v>
      </c>
      <c r="J19">
        <f t="shared" si="4"/>
        <v>393.93939393939399</v>
      </c>
      <c r="K19">
        <f t="shared" si="5"/>
        <v>10.833333333333336</v>
      </c>
    </row>
    <row r="20" spans="1:12" x14ac:dyDescent="0.25">
      <c r="A20" s="2">
        <v>44455</v>
      </c>
      <c r="B20" s="3" t="s">
        <v>115</v>
      </c>
      <c r="C20">
        <v>112</v>
      </c>
      <c r="D20" s="8">
        <v>33</v>
      </c>
      <c r="E20">
        <f t="shared" si="6"/>
        <v>3393.939393939394</v>
      </c>
      <c r="G20">
        <v>111</v>
      </c>
      <c r="H20">
        <v>33</v>
      </c>
      <c r="I20">
        <f t="shared" si="7"/>
        <v>3363.636363636364</v>
      </c>
      <c r="J20">
        <f t="shared" si="4"/>
        <v>30.303030303030027</v>
      </c>
      <c r="K20">
        <f t="shared" si="5"/>
        <v>0.89285714285713469</v>
      </c>
    </row>
    <row r="21" spans="1:12" x14ac:dyDescent="0.25">
      <c r="A21" s="2">
        <v>44455</v>
      </c>
      <c r="B21" s="3" t="s">
        <v>114</v>
      </c>
      <c r="C21">
        <v>131</v>
      </c>
      <c r="D21" s="8">
        <v>33</v>
      </c>
      <c r="E21">
        <f t="shared" si="6"/>
        <v>3969.6969696969695</v>
      </c>
      <c r="G21">
        <v>126</v>
      </c>
      <c r="H21">
        <v>33</v>
      </c>
      <c r="I21">
        <f t="shared" si="7"/>
        <v>3818.1818181818185</v>
      </c>
      <c r="J21">
        <f t="shared" si="4"/>
        <v>151.51515151515105</v>
      </c>
      <c r="K21">
        <f t="shared" si="5"/>
        <v>3.8167938931297591</v>
      </c>
    </row>
    <row r="22" spans="1:12" x14ac:dyDescent="0.25">
      <c r="A22" s="2">
        <v>44455</v>
      </c>
      <c r="B22" s="3" t="s">
        <v>112</v>
      </c>
      <c r="C22">
        <v>140</v>
      </c>
      <c r="D22" s="8">
        <v>33</v>
      </c>
      <c r="E22">
        <f t="shared" si="6"/>
        <v>4242.424242424242</v>
      </c>
      <c r="G22">
        <v>134</v>
      </c>
      <c r="H22">
        <v>33</v>
      </c>
      <c r="I22">
        <f t="shared" si="7"/>
        <v>4060.6060606060605</v>
      </c>
      <c r="J22">
        <f t="shared" si="4"/>
        <v>181.81818181818153</v>
      </c>
      <c r="K22">
        <f t="shared" si="5"/>
        <v>4.2857142857142794</v>
      </c>
    </row>
    <row r="23" spans="1:12" x14ac:dyDescent="0.25">
      <c r="A23" s="2"/>
    </row>
    <row r="24" spans="1:12" x14ac:dyDescent="0.25">
      <c r="A24" s="2">
        <v>44453</v>
      </c>
      <c r="B24" s="8" t="s">
        <v>109</v>
      </c>
      <c r="C24">
        <v>50440</v>
      </c>
      <c r="D24" s="8">
        <v>33</v>
      </c>
      <c r="E24">
        <f t="shared" ref="E24" si="8">+C24/D24*1000</f>
        <v>1528484.8484848484</v>
      </c>
    </row>
    <row r="25" spans="1:12" x14ac:dyDescent="0.25">
      <c r="A25" s="2"/>
    </row>
    <row r="26" spans="1:12" x14ac:dyDescent="0.25">
      <c r="A26" s="2"/>
    </row>
    <row r="27" spans="1:12" x14ac:dyDescent="0.25">
      <c r="A27" s="2"/>
      <c r="B27" s="3">
        <f>206066.67*2*60*24</f>
        <v>593472009.60000002</v>
      </c>
    </row>
    <row r="28" spans="1:12" x14ac:dyDescent="0.25">
      <c r="B28" s="3">
        <f>+B27/50000</f>
        <v>11869.440192</v>
      </c>
    </row>
    <row r="30" spans="1:12" x14ac:dyDescent="0.25">
      <c r="A30" s="6"/>
    </row>
    <row r="34" spans="6:6" x14ac:dyDescent="0.25">
      <c r="F34" s="6"/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G37" sqref="G37"/>
    </sheetView>
  </sheetViews>
  <sheetFormatPr defaultRowHeight="15" x14ac:dyDescent="0.25"/>
  <cols>
    <col min="1" max="1" width="12" bestFit="1" customWidth="1"/>
    <col min="2" max="2" width="12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2" x14ac:dyDescent="0.25">
      <c r="C1" t="s">
        <v>4</v>
      </c>
      <c r="F1" s="4"/>
      <c r="G1" t="s">
        <v>4</v>
      </c>
      <c r="K1" s="2"/>
    </row>
    <row r="2" spans="1:12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2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2" x14ac:dyDescent="0.25">
      <c r="A4" s="2">
        <v>44455</v>
      </c>
      <c r="B4" s="3" t="s">
        <v>118</v>
      </c>
      <c r="C4">
        <v>96</v>
      </c>
      <c r="D4" s="8">
        <v>33</v>
      </c>
      <c r="E4">
        <f>+C4/D4*1000</f>
        <v>2909.090909090909</v>
      </c>
      <c r="G4">
        <v>91</v>
      </c>
      <c r="H4">
        <v>33</v>
      </c>
      <c r="I4">
        <f>+G4/H4*1000</f>
        <v>2757.575757575758</v>
      </c>
      <c r="J4">
        <f t="shared" ref="J4:J12" si="0">+E4-I4</f>
        <v>151.51515151515105</v>
      </c>
      <c r="K4">
        <f t="shared" ref="K4:K12" si="1">+J4/E4*100</f>
        <v>5.2083333333333179</v>
      </c>
    </row>
    <row r="5" spans="1:12" x14ac:dyDescent="0.25">
      <c r="A5" s="2">
        <v>44455</v>
      </c>
      <c r="B5" s="3" t="s">
        <v>119</v>
      </c>
      <c r="C5">
        <v>115</v>
      </c>
      <c r="D5" s="8">
        <v>33</v>
      </c>
      <c r="E5">
        <f t="shared" ref="E5:E12" si="2">+C5/D5*1000</f>
        <v>3484.848484848485</v>
      </c>
      <c r="G5">
        <v>80</v>
      </c>
      <c r="H5">
        <v>33</v>
      </c>
      <c r="I5">
        <f t="shared" ref="I5:I12" si="3">+G5/H5*1000</f>
        <v>2424.2424242424245</v>
      </c>
      <c r="J5">
        <f t="shared" si="0"/>
        <v>1060.6060606060605</v>
      </c>
      <c r="K5">
        <f t="shared" si="1"/>
        <v>30.434782608695649</v>
      </c>
    </row>
    <row r="6" spans="1:12" x14ac:dyDescent="0.25">
      <c r="A6" s="2">
        <v>44455</v>
      </c>
      <c r="B6" s="3" t="s">
        <v>116</v>
      </c>
      <c r="C6">
        <v>100</v>
      </c>
      <c r="D6" s="8">
        <v>33</v>
      </c>
      <c r="E6">
        <f t="shared" si="2"/>
        <v>3030.3030303030305</v>
      </c>
      <c r="G6">
        <v>83</v>
      </c>
      <c r="H6">
        <v>33</v>
      </c>
      <c r="I6">
        <f t="shared" si="3"/>
        <v>2515.151515151515</v>
      </c>
      <c r="J6">
        <f t="shared" si="0"/>
        <v>515.15151515151547</v>
      </c>
      <c r="K6">
        <f t="shared" si="1"/>
        <v>17.000000000000011</v>
      </c>
    </row>
    <row r="7" spans="1:12" x14ac:dyDescent="0.25">
      <c r="A7" s="2">
        <v>44455</v>
      </c>
      <c r="B7" s="3" t="s">
        <v>117</v>
      </c>
      <c r="C7">
        <v>120</v>
      </c>
      <c r="D7" s="8">
        <v>33</v>
      </c>
      <c r="E7">
        <f t="shared" si="2"/>
        <v>3636.363636363636</v>
      </c>
      <c r="G7">
        <v>118</v>
      </c>
      <c r="H7">
        <v>33</v>
      </c>
      <c r="I7">
        <f t="shared" si="3"/>
        <v>3575.7575757575755</v>
      </c>
      <c r="J7">
        <f t="shared" si="0"/>
        <v>60.60606060606051</v>
      </c>
      <c r="K7">
        <f t="shared" si="1"/>
        <v>1.6666666666666643</v>
      </c>
      <c r="L7">
        <v>55</v>
      </c>
    </row>
    <row r="8" spans="1:12" x14ac:dyDescent="0.25">
      <c r="A8" s="2">
        <v>44455</v>
      </c>
      <c r="B8" s="3" t="s">
        <v>113</v>
      </c>
      <c r="C8">
        <v>171</v>
      </c>
      <c r="D8" s="8">
        <v>33</v>
      </c>
      <c r="E8">
        <f t="shared" si="2"/>
        <v>5181.818181818182</v>
      </c>
      <c r="G8">
        <v>129</v>
      </c>
      <c r="H8">
        <v>33</v>
      </c>
      <c r="I8">
        <f t="shared" si="3"/>
        <v>3909.090909090909</v>
      </c>
      <c r="J8">
        <f t="shared" si="0"/>
        <v>1272.727272727273</v>
      </c>
      <c r="K8">
        <f t="shared" si="1"/>
        <v>24.561403508771935</v>
      </c>
    </row>
    <row r="9" spans="1:12" x14ac:dyDescent="0.25">
      <c r="A9" s="2">
        <v>44455</v>
      </c>
      <c r="B9" s="3" t="s">
        <v>115</v>
      </c>
      <c r="C9">
        <v>114</v>
      </c>
      <c r="D9" s="8">
        <v>33</v>
      </c>
      <c r="E9">
        <f t="shared" si="2"/>
        <v>3454.5454545454545</v>
      </c>
      <c r="G9">
        <v>104</v>
      </c>
      <c r="H9">
        <v>33</v>
      </c>
      <c r="I9">
        <f t="shared" si="3"/>
        <v>3151.5151515151515</v>
      </c>
      <c r="J9">
        <f t="shared" si="0"/>
        <v>303.030303030303</v>
      </c>
      <c r="K9">
        <f t="shared" si="1"/>
        <v>8.7719298245614024</v>
      </c>
    </row>
    <row r="10" spans="1:12" x14ac:dyDescent="0.25">
      <c r="A10" s="2">
        <v>44455</v>
      </c>
      <c r="B10" s="3" t="s">
        <v>114</v>
      </c>
      <c r="C10">
        <v>109</v>
      </c>
      <c r="D10" s="8">
        <v>33</v>
      </c>
      <c r="E10">
        <f t="shared" si="2"/>
        <v>3303.030303030303</v>
      </c>
      <c r="G10">
        <v>89</v>
      </c>
      <c r="H10">
        <v>33</v>
      </c>
      <c r="I10">
        <f t="shared" si="3"/>
        <v>2696.969696969697</v>
      </c>
      <c r="J10">
        <f t="shared" si="0"/>
        <v>606.06060606060601</v>
      </c>
      <c r="K10">
        <f t="shared" si="1"/>
        <v>18.348623853211006</v>
      </c>
    </row>
    <row r="11" spans="1:12" x14ac:dyDescent="0.25">
      <c r="A11" s="2">
        <v>44455</v>
      </c>
      <c r="B11" s="3" t="s">
        <v>112</v>
      </c>
      <c r="C11">
        <v>110</v>
      </c>
      <c r="D11" s="8">
        <v>33</v>
      </c>
      <c r="E11">
        <f t="shared" si="2"/>
        <v>3333.3333333333335</v>
      </c>
      <c r="G11">
        <v>105</v>
      </c>
      <c r="H11">
        <v>33</v>
      </c>
      <c r="I11">
        <f t="shared" si="3"/>
        <v>3181.8181818181815</v>
      </c>
      <c r="J11">
        <f t="shared" si="0"/>
        <v>151.51515151515196</v>
      </c>
      <c r="K11">
        <f t="shared" si="1"/>
        <v>4.5454545454545592</v>
      </c>
    </row>
    <row r="12" spans="1:12" x14ac:dyDescent="0.25">
      <c r="A12" s="2">
        <v>44455</v>
      </c>
      <c r="B12" s="3" t="s">
        <v>120</v>
      </c>
      <c r="C12">
        <v>130</v>
      </c>
      <c r="D12" s="8">
        <v>33</v>
      </c>
      <c r="E12">
        <f t="shared" si="2"/>
        <v>3939.3939393939395</v>
      </c>
      <c r="G12">
        <v>130</v>
      </c>
      <c r="H12">
        <v>33</v>
      </c>
      <c r="I12">
        <f t="shared" si="3"/>
        <v>3939.3939393939395</v>
      </c>
      <c r="J12">
        <f t="shared" si="0"/>
        <v>0</v>
      </c>
      <c r="K12">
        <f t="shared" si="1"/>
        <v>0</v>
      </c>
    </row>
    <row r="13" spans="1:12" x14ac:dyDescent="0.25">
      <c r="A13" s="2"/>
    </row>
    <row r="14" spans="1:12" x14ac:dyDescent="0.25">
      <c r="A14" s="2"/>
    </row>
    <row r="15" spans="1:12" x14ac:dyDescent="0.25">
      <c r="A15" s="2">
        <v>44455</v>
      </c>
      <c r="B15" s="3" t="s">
        <v>118</v>
      </c>
      <c r="C15">
        <v>89</v>
      </c>
      <c r="D15" s="8">
        <v>33</v>
      </c>
      <c r="E15">
        <f>+C15/D15*1000</f>
        <v>2696.969696969697</v>
      </c>
      <c r="G15">
        <v>64</v>
      </c>
      <c r="H15">
        <v>33</v>
      </c>
      <c r="I15">
        <f>+G15/H15*1000</f>
        <v>1939.3939393939395</v>
      </c>
      <c r="J15">
        <f t="shared" ref="J15:J22" si="4">+E15-I15</f>
        <v>757.57575757575751</v>
      </c>
      <c r="K15">
        <f t="shared" ref="K15:K22" si="5">+J15/E15*100</f>
        <v>28.089887640449433</v>
      </c>
    </row>
    <row r="16" spans="1:12" x14ac:dyDescent="0.25">
      <c r="A16" s="2">
        <v>44455</v>
      </c>
      <c r="B16" s="3" t="s">
        <v>119</v>
      </c>
      <c r="C16">
        <v>108</v>
      </c>
      <c r="D16" s="8">
        <v>33</v>
      </c>
      <c r="E16">
        <f t="shared" ref="E16:E22" si="6">+C16/D16*1000</f>
        <v>3272.727272727273</v>
      </c>
      <c r="G16">
        <v>78</v>
      </c>
      <c r="H16">
        <v>33</v>
      </c>
      <c r="I16">
        <f t="shared" ref="I16:I22" si="7">+G16/H16*1000</f>
        <v>2363.636363636364</v>
      </c>
      <c r="J16">
        <f t="shared" si="4"/>
        <v>909.09090909090901</v>
      </c>
      <c r="K16">
        <f t="shared" si="5"/>
        <v>27.777777777777775</v>
      </c>
    </row>
    <row r="17" spans="1:12" x14ac:dyDescent="0.25">
      <c r="A17" s="2">
        <v>44455</v>
      </c>
      <c r="B17" s="3" t="s">
        <v>116</v>
      </c>
      <c r="C17">
        <v>84</v>
      </c>
      <c r="D17" s="8">
        <v>33</v>
      </c>
      <c r="E17">
        <f t="shared" si="6"/>
        <v>2545.4545454545455</v>
      </c>
      <c r="G17">
        <v>68</v>
      </c>
      <c r="H17">
        <v>33</v>
      </c>
      <c r="I17">
        <f t="shared" si="7"/>
        <v>2060.6060606060605</v>
      </c>
      <c r="J17">
        <f t="shared" si="4"/>
        <v>484.84848484848499</v>
      </c>
      <c r="K17">
        <f t="shared" si="5"/>
        <v>19.047619047619051</v>
      </c>
    </row>
    <row r="18" spans="1:12" x14ac:dyDescent="0.25">
      <c r="A18" s="2">
        <v>44455</v>
      </c>
      <c r="B18" s="3" t="s">
        <v>117</v>
      </c>
      <c r="C18">
        <v>84</v>
      </c>
      <c r="D18" s="8">
        <v>33</v>
      </c>
      <c r="E18">
        <f t="shared" si="6"/>
        <v>2545.4545454545455</v>
      </c>
      <c r="G18">
        <v>79</v>
      </c>
      <c r="H18">
        <v>33</v>
      </c>
      <c r="I18">
        <f t="shared" si="7"/>
        <v>2393.939393939394</v>
      </c>
      <c r="J18">
        <f t="shared" si="4"/>
        <v>151.5151515151515</v>
      </c>
      <c r="K18">
        <f t="shared" si="5"/>
        <v>5.9523809523809517</v>
      </c>
      <c r="L18">
        <v>55</v>
      </c>
    </row>
    <row r="19" spans="1:12" x14ac:dyDescent="0.25">
      <c r="A19" s="2">
        <v>44455</v>
      </c>
      <c r="B19" s="3" t="s">
        <v>113</v>
      </c>
      <c r="C19">
        <v>115</v>
      </c>
      <c r="D19" s="8">
        <v>33</v>
      </c>
      <c r="E19">
        <f t="shared" si="6"/>
        <v>3484.848484848485</v>
      </c>
      <c r="G19">
        <v>98</v>
      </c>
      <c r="H19">
        <v>33</v>
      </c>
      <c r="I19">
        <f t="shared" si="7"/>
        <v>2969.6969696969695</v>
      </c>
      <c r="J19">
        <f t="shared" si="4"/>
        <v>515.15151515151547</v>
      </c>
      <c r="K19">
        <f t="shared" si="5"/>
        <v>14.782608695652183</v>
      </c>
    </row>
    <row r="20" spans="1:12" x14ac:dyDescent="0.25">
      <c r="A20" s="2">
        <v>44455</v>
      </c>
      <c r="B20" s="3" t="s">
        <v>115</v>
      </c>
      <c r="C20">
        <v>111</v>
      </c>
      <c r="D20" s="8">
        <v>33</v>
      </c>
      <c r="E20">
        <f t="shared" si="6"/>
        <v>3363.636363636364</v>
      </c>
      <c r="G20">
        <v>94</v>
      </c>
      <c r="H20">
        <v>33</v>
      </c>
      <c r="I20">
        <f t="shared" si="7"/>
        <v>2848.4848484848485</v>
      </c>
      <c r="J20">
        <f t="shared" si="4"/>
        <v>515.15151515151547</v>
      </c>
      <c r="K20">
        <f t="shared" si="5"/>
        <v>15.315315315315322</v>
      </c>
    </row>
    <row r="21" spans="1:12" x14ac:dyDescent="0.25">
      <c r="A21" s="2">
        <v>44455</v>
      </c>
      <c r="B21" s="3" t="s">
        <v>114</v>
      </c>
      <c r="C21">
        <v>94</v>
      </c>
      <c r="D21" s="8">
        <v>33</v>
      </c>
      <c r="E21">
        <f t="shared" si="6"/>
        <v>2848.4848484848485</v>
      </c>
      <c r="G21">
        <v>83</v>
      </c>
      <c r="H21">
        <v>33</v>
      </c>
      <c r="I21">
        <f t="shared" si="7"/>
        <v>2515.151515151515</v>
      </c>
      <c r="J21">
        <f t="shared" si="4"/>
        <v>333.33333333333348</v>
      </c>
      <c r="K21">
        <f t="shared" si="5"/>
        <v>11.702127659574474</v>
      </c>
    </row>
    <row r="22" spans="1:12" x14ac:dyDescent="0.25">
      <c r="A22" s="2">
        <v>44455</v>
      </c>
      <c r="B22" s="3" t="s">
        <v>112</v>
      </c>
      <c r="C22">
        <v>93</v>
      </c>
      <c r="D22" s="8">
        <v>33</v>
      </c>
      <c r="E22">
        <f t="shared" si="6"/>
        <v>2818.1818181818185</v>
      </c>
      <c r="G22">
        <v>91</v>
      </c>
      <c r="H22">
        <v>33</v>
      </c>
      <c r="I22">
        <f t="shared" si="7"/>
        <v>2757.575757575758</v>
      </c>
      <c r="J22">
        <f t="shared" si="4"/>
        <v>60.60606060606051</v>
      </c>
      <c r="K22">
        <f t="shared" si="5"/>
        <v>2.1505376344085985</v>
      </c>
    </row>
    <row r="23" spans="1:12" x14ac:dyDescent="0.25">
      <c r="A23" s="2"/>
    </row>
    <row r="24" spans="1:12" x14ac:dyDescent="0.25">
      <c r="A24" s="2">
        <v>44453</v>
      </c>
      <c r="B24" s="8" t="s">
        <v>109</v>
      </c>
      <c r="C24">
        <v>35402</v>
      </c>
      <c r="D24" s="8">
        <v>33</v>
      </c>
      <c r="E24">
        <f t="shared" ref="E24" si="8">+C24/D24*1000</f>
        <v>1072787.8787878787</v>
      </c>
    </row>
    <row r="25" spans="1:12" x14ac:dyDescent="0.25">
      <c r="A25" s="2"/>
    </row>
    <row r="26" spans="1:12" x14ac:dyDescent="0.25">
      <c r="A26" s="2"/>
    </row>
    <row r="27" spans="1:12" x14ac:dyDescent="0.25">
      <c r="A27" s="2"/>
      <c r="B27" s="3">
        <f>206066.67*2*60*24</f>
        <v>593472009.60000002</v>
      </c>
    </row>
    <row r="28" spans="1:12" x14ac:dyDescent="0.25">
      <c r="B28" s="3">
        <f>+B27/50000</f>
        <v>11869.440192</v>
      </c>
    </row>
    <row r="30" spans="1:12" x14ac:dyDescent="0.25">
      <c r="A30" s="6"/>
    </row>
    <row r="34" spans="6:6" x14ac:dyDescent="0.25">
      <c r="F34" s="6"/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E28" sqref="E28"/>
    </sheetView>
  </sheetViews>
  <sheetFormatPr defaultRowHeight="15" x14ac:dyDescent="0.25"/>
  <cols>
    <col min="1" max="1" width="12" bestFit="1" customWidth="1"/>
    <col min="2" max="2" width="12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2" x14ac:dyDescent="0.25">
      <c r="C1" t="s">
        <v>4</v>
      </c>
      <c r="F1" s="4"/>
      <c r="G1" t="s">
        <v>4</v>
      </c>
      <c r="K1" s="2"/>
    </row>
    <row r="2" spans="1:12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2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2" x14ac:dyDescent="0.25">
      <c r="A4" s="2">
        <v>44455</v>
      </c>
      <c r="B4" s="3" t="s">
        <v>118</v>
      </c>
      <c r="C4">
        <v>268</v>
      </c>
      <c r="D4" s="8">
        <v>33</v>
      </c>
      <c r="E4">
        <f>+C4/D4*1000</f>
        <v>8121.212121212121</v>
      </c>
      <c r="G4">
        <v>244</v>
      </c>
      <c r="H4">
        <v>33</v>
      </c>
      <c r="I4">
        <f>+G4/H4*1000</f>
        <v>7393.939393939394</v>
      </c>
      <c r="J4">
        <f t="shared" ref="J4:J12" si="0">+E4-I4</f>
        <v>727.27272727272702</v>
      </c>
      <c r="K4">
        <f t="shared" ref="K4:K12" si="1">+J4/E4*100</f>
        <v>8.9552238805970124</v>
      </c>
    </row>
    <row r="5" spans="1:12" x14ac:dyDescent="0.25">
      <c r="A5" s="2">
        <v>44455</v>
      </c>
      <c r="B5" s="3" t="s">
        <v>119</v>
      </c>
      <c r="C5">
        <v>203</v>
      </c>
      <c r="D5" s="8">
        <v>33</v>
      </c>
      <c r="E5">
        <f t="shared" ref="E5:E12" si="2">+C5/D5*1000</f>
        <v>6151.515151515151</v>
      </c>
      <c r="G5">
        <v>183</v>
      </c>
      <c r="H5">
        <v>33</v>
      </c>
      <c r="I5">
        <f t="shared" ref="I5:I12" si="3">+G5/H5*1000</f>
        <v>5545.454545454546</v>
      </c>
      <c r="J5">
        <f t="shared" si="0"/>
        <v>606.0606060606051</v>
      </c>
      <c r="K5">
        <f t="shared" si="1"/>
        <v>9.8522167487684573</v>
      </c>
    </row>
    <row r="6" spans="1:12" x14ac:dyDescent="0.25">
      <c r="A6" s="2">
        <v>44455</v>
      </c>
      <c r="B6" s="3" t="s">
        <v>116</v>
      </c>
      <c r="C6">
        <v>230</v>
      </c>
      <c r="D6" s="8">
        <v>33</v>
      </c>
      <c r="E6">
        <f t="shared" si="2"/>
        <v>6969.69696969697</v>
      </c>
      <c r="G6">
        <v>212</v>
      </c>
      <c r="H6">
        <v>33</v>
      </c>
      <c r="I6">
        <f t="shared" si="3"/>
        <v>6424.242424242424</v>
      </c>
      <c r="J6">
        <f t="shared" si="0"/>
        <v>545.45454545454595</v>
      </c>
      <c r="K6">
        <f t="shared" si="1"/>
        <v>7.8260869565217455</v>
      </c>
    </row>
    <row r="7" spans="1:12" x14ac:dyDescent="0.25">
      <c r="A7" s="2">
        <v>44455</v>
      </c>
      <c r="B7" s="3" t="s">
        <v>117</v>
      </c>
      <c r="C7">
        <v>267</v>
      </c>
      <c r="D7" s="8">
        <v>33</v>
      </c>
      <c r="E7">
        <f t="shared" si="2"/>
        <v>8090.9090909090919</v>
      </c>
      <c r="G7">
        <v>235</v>
      </c>
      <c r="H7">
        <v>33</v>
      </c>
      <c r="I7">
        <f t="shared" si="3"/>
        <v>7121.212121212121</v>
      </c>
      <c r="J7">
        <f t="shared" si="0"/>
        <v>969.69696969697088</v>
      </c>
      <c r="K7">
        <f t="shared" si="1"/>
        <v>11.985018726591774</v>
      </c>
      <c r="L7">
        <v>55</v>
      </c>
    </row>
    <row r="8" spans="1:12" x14ac:dyDescent="0.25">
      <c r="A8" s="2">
        <v>44455</v>
      </c>
      <c r="B8" s="3" t="s">
        <v>113</v>
      </c>
      <c r="C8">
        <v>275</v>
      </c>
      <c r="D8" s="8">
        <v>33</v>
      </c>
      <c r="E8">
        <f t="shared" si="2"/>
        <v>8333.3333333333339</v>
      </c>
      <c r="G8">
        <v>244</v>
      </c>
      <c r="H8">
        <v>33</v>
      </c>
      <c r="I8">
        <f t="shared" si="3"/>
        <v>7393.939393939394</v>
      </c>
      <c r="J8">
        <f t="shared" si="0"/>
        <v>939.39393939393995</v>
      </c>
      <c r="K8">
        <f t="shared" si="1"/>
        <v>11.272727272727279</v>
      </c>
    </row>
    <row r="9" spans="1:12" x14ac:dyDescent="0.25">
      <c r="A9" s="2">
        <v>44455</v>
      </c>
      <c r="B9" s="3" t="s">
        <v>115</v>
      </c>
      <c r="C9">
        <v>241</v>
      </c>
      <c r="D9" s="8">
        <v>33</v>
      </c>
      <c r="E9">
        <f t="shared" si="2"/>
        <v>7303.030303030303</v>
      </c>
      <c r="G9">
        <v>233</v>
      </c>
      <c r="H9">
        <v>33</v>
      </c>
      <c r="I9">
        <f t="shared" si="3"/>
        <v>7060.606060606061</v>
      </c>
      <c r="J9">
        <f t="shared" si="0"/>
        <v>242.42424242424204</v>
      </c>
      <c r="K9">
        <f t="shared" si="1"/>
        <v>3.3195020746887911</v>
      </c>
    </row>
    <row r="10" spans="1:12" x14ac:dyDescent="0.25">
      <c r="A10" s="2">
        <v>44455</v>
      </c>
      <c r="B10" s="3" t="s">
        <v>114</v>
      </c>
      <c r="C10">
        <v>242</v>
      </c>
      <c r="D10" s="8">
        <v>33</v>
      </c>
      <c r="E10">
        <f t="shared" si="2"/>
        <v>7333.333333333333</v>
      </c>
      <c r="G10">
        <v>262</v>
      </c>
      <c r="H10">
        <v>33</v>
      </c>
      <c r="I10">
        <f t="shared" si="3"/>
        <v>7939.393939393939</v>
      </c>
      <c r="J10">
        <f t="shared" si="0"/>
        <v>-606.06060606060601</v>
      </c>
      <c r="K10">
        <f t="shared" si="1"/>
        <v>-8.2644628099173563</v>
      </c>
    </row>
    <row r="11" spans="1:12" x14ac:dyDescent="0.25">
      <c r="A11" s="2">
        <v>44455</v>
      </c>
      <c r="B11" s="3" t="s">
        <v>112</v>
      </c>
      <c r="C11">
        <v>306</v>
      </c>
      <c r="D11" s="8">
        <v>33</v>
      </c>
      <c r="E11">
        <f t="shared" si="2"/>
        <v>9272.7272727272739</v>
      </c>
      <c r="G11">
        <v>266</v>
      </c>
      <c r="H11">
        <v>33</v>
      </c>
      <c r="I11">
        <f t="shared" si="3"/>
        <v>8060.606060606061</v>
      </c>
      <c r="J11">
        <f t="shared" si="0"/>
        <v>1212.1212121212129</v>
      </c>
      <c r="K11">
        <f t="shared" si="1"/>
        <v>13.071895424836608</v>
      </c>
    </row>
    <row r="12" spans="1:12" x14ac:dyDescent="0.25">
      <c r="A12" s="2">
        <v>44455</v>
      </c>
      <c r="B12" s="3" t="s">
        <v>120</v>
      </c>
      <c r="C12">
        <v>278</v>
      </c>
      <c r="D12" s="8">
        <v>33</v>
      </c>
      <c r="E12">
        <f t="shared" si="2"/>
        <v>8424.242424242424</v>
      </c>
      <c r="G12">
        <v>247</v>
      </c>
      <c r="H12">
        <v>33</v>
      </c>
      <c r="I12">
        <f t="shared" si="3"/>
        <v>7484.8484848484841</v>
      </c>
      <c r="J12">
        <f t="shared" si="0"/>
        <v>939.39393939393995</v>
      </c>
      <c r="K12">
        <f t="shared" si="1"/>
        <v>11.151079136690655</v>
      </c>
    </row>
    <row r="13" spans="1:12" x14ac:dyDescent="0.25">
      <c r="A13" s="2"/>
    </row>
    <row r="14" spans="1:12" x14ac:dyDescent="0.25">
      <c r="A14" s="2"/>
    </row>
    <row r="15" spans="1:12" x14ac:dyDescent="0.25">
      <c r="A15" s="2">
        <v>44455</v>
      </c>
      <c r="B15" s="3" t="s">
        <v>118</v>
      </c>
      <c r="C15">
        <v>179</v>
      </c>
      <c r="D15" s="8">
        <v>33</v>
      </c>
      <c r="E15">
        <f>+C15/D15*1000</f>
        <v>5424.242424242424</v>
      </c>
      <c r="G15">
        <v>162</v>
      </c>
      <c r="H15">
        <v>33</v>
      </c>
      <c r="I15">
        <f>+G15/H15*1000</f>
        <v>4909.090909090909</v>
      </c>
      <c r="J15">
        <f>+E15-I15</f>
        <v>515.15151515151501</v>
      </c>
      <c r="K15">
        <f t="shared" ref="K15:K22" si="4">+J15/E15*100</f>
        <v>9.4972067039106136</v>
      </c>
    </row>
    <row r="16" spans="1:12" x14ac:dyDescent="0.25">
      <c r="A16" s="2">
        <v>44455</v>
      </c>
      <c r="B16" s="3" t="s">
        <v>119</v>
      </c>
      <c r="C16">
        <v>180</v>
      </c>
      <c r="D16" s="8">
        <v>33</v>
      </c>
      <c r="E16">
        <f>+C16/D16*1000</f>
        <v>5454.545454545454</v>
      </c>
      <c r="G16">
        <v>152</v>
      </c>
      <c r="H16">
        <v>33</v>
      </c>
      <c r="I16">
        <f>+G16/H16*1000</f>
        <v>4606.060606060606</v>
      </c>
      <c r="J16">
        <f>+E16-I16</f>
        <v>848.48484848484804</v>
      </c>
      <c r="K16">
        <f t="shared" si="4"/>
        <v>15.55555555555555</v>
      </c>
    </row>
    <row r="17" spans="1:12" x14ac:dyDescent="0.25">
      <c r="A17" s="2">
        <v>44455</v>
      </c>
      <c r="B17" s="3" t="s">
        <v>116</v>
      </c>
      <c r="C17">
        <v>209</v>
      </c>
      <c r="D17" s="8">
        <v>33</v>
      </c>
      <c r="E17">
        <f>+C17/D17*1000</f>
        <v>6333.333333333333</v>
      </c>
      <c r="G17">
        <v>204</v>
      </c>
      <c r="H17">
        <v>33</v>
      </c>
      <c r="I17">
        <f t="shared" ref="I17:I22" si="5">+G17/H17*1000</f>
        <v>6181.818181818182</v>
      </c>
      <c r="J17">
        <f t="shared" ref="J17:J22" si="6">+E17-I17</f>
        <v>151.51515151515105</v>
      </c>
      <c r="K17">
        <f t="shared" si="4"/>
        <v>2.392344497607648</v>
      </c>
    </row>
    <row r="18" spans="1:12" x14ac:dyDescent="0.25">
      <c r="A18" s="2">
        <v>44455</v>
      </c>
      <c r="B18" s="3" t="s">
        <v>117</v>
      </c>
      <c r="C18">
        <v>190</v>
      </c>
      <c r="D18" s="8">
        <v>33</v>
      </c>
      <c r="E18">
        <f>+C18/D18*1000</f>
        <v>5757.575757575758</v>
      </c>
      <c r="G18">
        <v>179</v>
      </c>
      <c r="H18">
        <v>33</v>
      </c>
      <c r="I18">
        <f>+G18/H18*1000</f>
        <v>5424.242424242424</v>
      </c>
      <c r="J18">
        <f t="shared" si="6"/>
        <v>333.33333333333394</v>
      </c>
      <c r="K18">
        <f t="shared" si="4"/>
        <v>5.7894736842105363</v>
      </c>
      <c r="L18">
        <v>55</v>
      </c>
    </row>
    <row r="19" spans="1:12" x14ac:dyDescent="0.25">
      <c r="A19" s="2">
        <v>44455</v>
      </c>
      <c r="B19" s="3" t="s">
        <v>113</v>
      </c>
      <c r="C19">
        <v>164</v>
      </c>
      <c r="D19" s="8">
        <v>33</v>
      </c>
      <c r="E19">
        <f t="shared" ref="E19:E22" si="7">+C19/D19*1000</f>
        <v>4969.69696969697</v>
      </c>
      <c r="G19">
        <v>137</v>
      </c>
      <c r="H19">
        <v>33</v>
      </c>
      <c r="I19">
        <f t="shared" si="5"/>
        <v>4151.515151515151</v>
      </c>
      <c r="J19">
        <f t="shared" si="6"/>
        <v>818.18181818181893</v>
      </c>
      <c r="K19">
        <f t="shared" si="4"/>
        <v>16.463414634146357</v>
      </c>
    </row>
    <row r="20" spans="1:12" x14ac:dyDescent="0.25">
      <c r="A20" s="2">
        <v>44455</v>
      </c>
      <c r="B20" s="3" t="s">
        <v>115</v>
      </c>
      <c r="C20">
        <v>166</v>
      </c>
      <c r="D20" s="8">
        <v>33</v>
      </c>
      <c r="E20">
        <f t="shared" si="7"/>
        <v>5030.30303030303</v>
      </c>
      <c r="G20">
        <v>117</v>
      </c>
      <c r="H20">
        <v>33</v>
      </c>
      <c r="I20">
        <f t="shared" si="5"/>
        <v>3545.4545454545455</v>
      </c>
      <c r="J20">
        <f t="shared" si="6"/>
        <v>1484.8484848484845</v>
      </c>
      <c r="K20">
        <f t="shared" si="4"/>
        <v>29.518072289156621</v>
      </c>
    </row>
    <row r="21" spans="1:12" x14ac:dyDescent="0.25">
      <c r="A21" s="2">
        <v>44455</v>
      </c>
      <c r="B21" s="3" t="s">
        <v>114</v>
      </c>
      <c r="C21">
        <v>172</v>
      </c>
      <c r="D21" s="8">
        <v>33</v>
      </c>
      <c r="E21">
        <f t="shared" si="7"/>
        <v>5212.121212121212</v>
      </c>
      <c r="G21">
        <v>164</v>
      </c>
      <c r="H21">
        <v>33</v>
      </c>
      <c r="I21">
        <f t="shared" si="5"/>
        <v>4969.69696969697</v>
      </c>
      <c r="J21">
        <f t="shared" si="6"/>
        <v>242.42424242424204</v>
      </c>
      <c r="K21">
        <f t="shared" si="4"/>
        <v>4.6511627906976676</v>
      </c>
    </row>
    <row r="22" spans="1:12" x14ac:dyDescent="0.25">
      <c r="A22" s="2">
        <v>44455</v>
      </c>
      <c r="B22" s="3" t="s">
        <v>112</v>
      </c>
      <c r="C22">
        <v>192</v>
      </c>
      <c r="D22" s="8">
        <v>33</v>
      </c>
      <c r="E22">
        <f t="shared" si="7"/>
        <v>5818.181818181818</v>
      </c>
      <c r="G22">
        <v>89</v>
      </c>
      <c r="H22">
        <v>33</v>
      </c>
      <c r="I22">
        <f t="shared" si="5"/>
        <v>2696.969696969697</v>
      </c>
      <c r="J22">
        <f t="shared" si="6"/>
        <v>3121.212121212121</v>
      </c>
      <c r="K22">
        <f t="shared" si="4"/>
        <v>53.645833333333336</v>
      </c>
    </row>
    <row r="23" spans="1:12" x14ac:dyDescent="0.25">
      <c r="A23" s="2"/>
    </row>
    <row r="24" spans="1:12" x14ac:dyDescent="0.25">
      <c r="A24" s="2">
        <v>44453</v>
      </c>
      <c r="B24" s="8" t="s">
        <v>109</v>
      </c>
      <c r="C24">
        <v>44829</v>
      </c>
      <c r="D24" s="8">
        <v>33</v>
      </c>
      <c r="E24">
        <f t="shared" ref="E24" si="8">+C24/D24*1000</f>
        <v>1358454.5454545454</v>
      </c>
    </row>
    <row r="25" spans="1:12" x14ac:dyDescent="0.25">
      <c r="A25" s="2"/>
    </row>
    <row r="26" spans="1:12" x14ac:dyDescent="0.25">
      <c r="A26" s="2"/>
      <c r="E26">
        <f>AVERAGE(E4:E12)</f>
        <v>7777.7777777777774</v>
      </c>
    </row>
    <row r="27" spans="1:12" x14ac:dyDescent="0.25">
      <c r="A27" s="2"/>
      <c r="B27" s="3">
        <f>206066.67*2*60*24</f>
        <v>593472009.60000002</v>
      </c>
      <c r="E27">
        <f>AVERAGE(E15:E22)</f>
        <v>5499.9999999999991</v>
      </c>
    </row>
    <row r="28" spans="1:12" x14ac:dyDescent="0.25">
      <c r="B28" s="3">
        <f>+B27/50000</f>
        <v>11869.440192</v>
      </c>
      <c r="E28">
        <f>+(E27-E26)/E26</f>
        <v>-0.29285714285714293</v>
      </c>
    </row>
    <row r="30" spans="1:12" x14ac:dyDescent="0.25">
      <c r="A30" s="6"/>
    </row>
    <row r="34" spans="6:6" x14ac:dyDescent="0.25">
      <c r="F34" s="6"/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E32" sqref="E32"/>
    </sheetView>
  </sheetViews>
  <sheetFormatPr defaultRowHeight="15" x14ac:dyDescent="0.25"/>
  <cols>
    <col min="1" max="1" width="12" bestFit="1" customWidth="1"/>
    <col min="2" max="2" width="12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2" x14ac:dyDescent="0.25">
      <c r="C1" t="s">
        <v>4</v>
      </c>
      <c r="F1" s="4"/>
      <c r="G1" t="s">
        <v>4</v>
      </c>
      <c r="K1" s="2"/>
    </row>
    <row r="2" spans="1:12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2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2" x14ac:dyDescent="0.25">
      <c r="A4" s="2">
        <v>44460</v>
      </c>
      <c r="B4" s="3" t="s">
        <v>118</v>
      </c>
      <c r="C4">
        <v>180</v>
      </c>
      <c r="D4" s="8">
        <v>33</v>
      </c>
      <c r="E4">
        <f>+C4/D4*1000</f>
        <v>5454.545454545454</v>
      </c>
      <c r="G4">
        <v>186</v>
      </c>
      <c r="H4">
        <v>33</v>
      </c>
      <c r="I4">
        <f>+G4/H4*1000</f>
        <v>5636.3636363636369</v>
      </c>
      <c r="J4">
        <f t="shared" ref="J4:J12" si="0">+E4-I4</f>
        <v>-181.81818181818289</v>
      </c>
      <c r="K4">
        <f t="shared" ref="K4:K12" si="1">+J4/E4*100</f>
        <v>-3.3333333333333535</v>
      </c>
    </row>
    <row r="5" spans="1:12" x14ac:dyDescent="0.25">
      <c r="A5" s="2">
        <v>44460</v>
      </c>
      <c r="B5" s="3" t="s">
        <v>119</v>
      </c>
      <c r="C5">
        <v>155</v>
      </c>
      <c r="D5" s="8">
        <v>33</v>
      </c>
      <c r="E5">
        <f t="shared" ref="E5:E12" si="2">+C5/D5*1000</f>
        <v>4696.969696969697</v>
      </c>
      <c r="G5">
        <v>115</v>
      </c>
      <c r="H5">
        <v>33</v>
      </c>
      <c r="I5">
        <f t="shared" ref="I5:I12" si="3">+G5/H5*1000</f>
        <v>3484.848484848485</v>
      </c>
      <c r="J5">
        <f t="shared" si="0"/>
        <v>1212.121212121212</v>
      </c>
      <c r="K5">
        <f t="shared" si="1"/>
        <v>25.806451612903224</v>
      </c>
    </row>
    <row r="6" spans="1:12" x14ac:dyDescent="0.25">
      <c r="A6" s="2">
        <v>44460</v>
      </c>
      <c r="B6" s="3" t="s">
        <v>116</v>
      </c>
      <c r="C6">
        <v>162</v>
      </c>
      <c r="D6" s="8">
        <v>33</v>
      </c>
      <c r="E6">
        <f t="shared" si="2"/>
        <v>4909.090909090909</v>
      </c>
      <c r="G6">
        <v>166</v>
      </c>
      <c r="H6">
        <v>33</v>
      </c>
      <c r="I6">
        <f t="shared" si="3"/>
        <v>5030.30303030303</v>
      </c>
      <c r="J6">
        <f t="shared" si="0"/>
        <v>-121.21212121212102</v>
      </c>
      <c r="K6">
        <f t="shared" si="1"/>
        <v>-2.4691358024691317</v>
      </c>
    </row>
    <row r="7" spans="1:12" x14ac:dyDescent="0.25">
      <c r="A7" s="2">
        <v>44460</v>
      </c>
      <c r="B7" s="3" t="s">
        <v>117</v>
      </c>
      <c r="C7">
        <v>179</v>
      </c>
      <c r="D7" s="8">
        <v>33</v>
      </c>
      <c r="E7">
        <f t="shared" si="2"/>
        <v>5424.242424242424</v>
      </c>
      <c r="G7">
        <v>138</v>
      </c>
      <c r="H7">
        <v>33</v>
      </c>
      <c r="I7">
        <f t="shared" si="3"/>
        <v>4181.818181818182</v>
      </c>
      <c r="J7">
        <f t="shared" si="0"/>
        <v>1242.424242424242</v>
      </c>
      <c r="K7">
        <f t="shared" si="1"/>
        <v>22.905027932960888</v>
      </c>
      <c r="L7">
        <v>55</v>
      </c>
    </row>
    <row r="8" spans="1:12" x14ac:dyDescent="0.25">
      <c r="A8" s="2">
        <v>44460</v>
      </c>
      <c r="B8" s="3" t="s">
        <v>113</v>
      </c>
      <c r="C8">
        <v>188</v>
      </c>
      <c r="D8" s="8">
        <v>33</v>
      </c>
      <c r="E8">
        <f t="shared" si="2"/>
        <v>5696.969696969697</v>
      </c>
      <c r="G8">
        <v>175</v>
      </c>
      <c r="H8">
        <v>33</v>
      </c>
      <c r="I8">
        <f t="shared" si="3"/>
        <v>5303.030303030303</v>
      </c>
      <c r="J8">
        <f t="shared" si="0"/>
        <v>393.93939393939399</v>
      </c>
      <c r="K8">
        <f t="shared" si="1"/>
        <v>6.9148936170212769</v>
      </c>
    </row>
    <row r="9" spans="1:12" x14ac:dyDescent="0.25">
      <c r="A9" s="2">
        <v>44460</v>
      </c>
      <c r="B9" s="3" t="s">
        <v>115</v>
      </c>
      <c r="C9">
        <v>193</v>
      </c>
      <c r="D9" s="8">
        <v>33</v>
      </c>
      <c r="E9">
        <f t="shared" si="2"/>
        <v>5848.484848484849</v>
      </c>
      <c r="G9">
        <v>197</v>
      </c>
      <c r="H9">
        <v>33</v>
      </c>
      <c r="I9">
        <f t="shared" si="3"/>
        <v>5969.69696969697</v>
      </c>
      <c r="J9">
        <f t="shared" si="0"/>
        <v>-121.21212121212102</v>
      </c>
      <c r="K9">
        <f t="shared" si="1"/>
        <v>-2.0725388601036236</v>
      </c>
    </row>
    <row r="10" spans="1:12" x14ac:dyDescent="0.25">
      <c r="A10" s="2">
        <v>44460</v>
      </c>
      <c r="B10" s="3" t="s">
        <v>114</v>
      </c>
      <c r="C10">
        <v>204</v>
      </c>
      <c r="D10" s="8">
        <v>33</v>
      </c>
      <c r="E10">
        <f t="shared" si="2"/>
        <v>6181.818181818182</v>
      </c>
      <c r="G10">
        <v>198</v>
      </c>
      <c r="H10">
        <v>33</v>
      </c>
      <c r="I10">
        <f t="shared" si="3"/>
        <v>6000</v>
      </c>
      <c r="J10">
        <f t="shared" si="0"/>
        <v>181.81818181818198</v>
      </c>
      <c r="K10">
        <f t="shared" si="1"/>
        <v>2.9411764705882382</v>
      </c>
    </row>
    <row r="11" spans="1:12" x14ac:dyDescent="0.25">
      <c r="A11" s="2">
        <v>44460</v>
      </c>
      <c r="B11" s="3" t="s">
        <v>112</v>
      </c>
      <c r="C11">
        <v>252</v>
      </c>
      <c r="D11" s="8">
        <v>33</v>
      </c>
      <c r="E11">
        <f t="shared" si="2"/>
        <v>7636.3636363636369</v>
      </c>
      <c r="G11">
        <v>212</v>
      </c>
      <c r="H11">
        <v>33</v>
      </c>
      <c r="I11">
        <f t="shared" si="3"/>
        <v>6424.242424242424</v>
      </c>
      <c r="J11">
        <f t="shared" si="0"/>
        <v>1212.1212121212129</v>
      </c>
      <c r="K11">
        <f t="shared" si="1"/>
        <v>15.873015873015884</v>
      </c>
    </row>
    <row r="12" spans="1:12" x14ac:dyDescent="0.25">
      <c r="A12" s="2">
        <v>44460</v>
      </c>
      <c r="B12" s="3" t="s">
        <v>120</v>
      </c>
      <c r="C12">
        <v>216</v>
      </c>
      <c r="D12" s="8">
        <v>33</v>
      </c>
      <c r="E12">
        <f t="shared" si="2"/>
        <v>6545.454545454546</v>
      </c>
      <c r="G12">
        <v>214</v>
      </c>
      <c r="H12">
        <v>33</v>
      </c>
      <c r="I12">
        <f t="shared" si="3"/>
        <v>6484.8484848484841</v>
      </c>
      <c r="J12">
        <f t="shared" si="0"/>
        <v>60.606060606061874</v>
      </c>
      <c r="K12">
        <f t="shared" si="1"/>
        <v>0.92592592592594536</v>
      </c>
    </row>
    <row r="13" spans="1:12" x14ac:dyDescent="0.25">
      <c r="A13" s="2"/>
    </row>
    <row r="14" spans="1:12" x14ac:dyDescent="0.25">
      <c r="A14" s="2"/>
    </row>
    <row r="15" spans="1:12" x14ac:dyDescent="0.25">
      <c r="A15" s="2">
        <v>44460</v>
      </c>
      <c r="B15" s="3" t="s">
        <v>118</v>
      </c>
      <c r="C15">
        <v>129</v>
      </c>
      <c r="D15" s="8">
        <v>33</v>
      </c>
      <c r="E15">
        <f>+C15/D15*1000</f>
        <v>3909.090909090909</v>
      </c>
      <c r="G15">
        <v>111</v>
      </c>
      <c r="H15">
        <v>33</v>
      </c>
      <c r="I15">
        <f>+G15/H15*1000</f>
        <v>3363.636363636364</v>
      </c>
      <c r="J15">
        <f>+E15-I15</f>
        <v>545.45454545454504</v>
      </c>
      <c r="K15">
        <f t="shared" ref="K15:K22" si="4">+J15/E15*100</f>
        <v>13.953488372093013</v>
      </c>
    </row>
    <row r="16" spans="1:12" x14ac:dyDescent="0.25">
      <c r="A16" s="2">
        <v>44460</v>
      </c>
      <c r="B16" s="3" t="s">
        <v>119</v>
      </c>
      <c r="C16">
        <v>131</v>
      </c>
      <c r="D16" s="8">
        <v>33</v>
      </c>
      <c r="E16">
        <f>+C16/D16*1000</f>
        <v>3969.6969696969695</v>
      </c>
      <c r="G16">
        <v>118</v>
      </c>
      <c r="H16">
        <v>33</v>
      </c>
      <c r="I16">
        <f>+G16/H16*1000</f>
        <v>3575.7575757575755</v>
      </c>
      <c r="J16">
        <f>+E16-I16</f>
        <v>393.93939393939399</v>
      </c>
      <c r="K16">
        <f t="shared" si="4"/>
        <v>9.9236641221374065</v>
      </c>
    </row>
    <row r="17" spans="1:12" x14ac:dyDescent="0.25">
      <c r="A17" s="2">
        <v>44460</v>
      </c>
      <c r="B17" s="3" t="s">
        <v>116</v>
      </c>
      <c r="C17">
        <v>121</v>
      </c>
      <c r="D17" s="8">
        <v>33</v>
      </c>
      <c r="E17">
        <f>+C17/D17*1000</f>
        <v>3666.6666666666665</v>
      </c>
      <c r="G17">
        <v>108</v>
      </c>
      <c r="H17">
        <v>33</v>
      </c>
      <c r="I17">
        <f t="shared" ref="I17:I22" si="5">+G17/H17*1000</f>
        <v>3272.727272727273</v>
      </c>
      <c r="J17">
        <f t="shared" ref="J17:J22" si="6">+E17-I17</f>
        <v>393.93939393939354</v>
      </c>
      <c r="K17">
        <f t="shared" si="4"/>
        <v>10.743801652892552</v>
      </c>
    </row>
    <row r="18" spans="1:12" x14ac:dyDescent="0.25">
      <c r="A18" s="2">
        <v>44460</v>
      </c>
      <c r="B18" s="3" t="s">
        <v>117</v>
      </c>
      <c r="C18">
        <v>130</v>
      </c>
      <c r="D18" s="8">
        <v>33</v>
      </c>
      <c r="E18">
        <f>+C18/D18*1000</f>
        <v>3939.3939393939395</v>
      </c>
      <c r="G18">
        <v>116</v>
      </c>
      <c r="H18">
        <v>33</v>
      </c>
      <c r="I18">
        <f>+G18/H18*1000</f>
        <v>3515.151515151515</v>
      </c>
      <c r="J18">
        <f t="shared" si="6"/>
        <v>424.24242424242448</v>
      </c>
      <c r="K18">
        <f t="shared" si="4"/>
        <v>10.769230769230775</v>
      </c>
      <c r="L18">
        <v>55</v>
      </c>
    </row>
    <row r="19" spans="1:12" x14ac:dyDescent="0.25">
      <c r="A19" s="2">
        <v>44460</v>
      </c>
      <c r="B19" s="3" t="s">
        <v>113</v>
      </c>
      <c r="C19">
        <v>136</v>
      </c>
      <c r="D19" s="8">
        <v>33</v>
      </c>
      <c r="E19">
        <f t="shared" ref="E19:E22" si="7">+C19/D19*1000</f>
        <v>4121.212121212121</v>
      </c>
      <c r="G19">
        <v>125</v>
      </c>
      <c r="H19">
        <v>33</v>
      </c>
      <c r="I19">
        <f t="shared" si="5"/>
        <v>3787.878787878788</v>
      </c>
      <c r="J19">
        <f t="shared" si="6"/>
        <v>333.33333333333303</v>
      </c>
      <c r="K19">
        <f t="shared" si="4"/>
        <v>8.0882352941176414</v>
      </c>
    </row>
    <row r="20" spans="1:12" x14ac:dyDescent="0.25">
      <c r="A20" s="2">
        <v>44460</v>
      </c>
      <c r="B20" s="3" t="s">
        <v>115</v>
      </c>
      <c r="C20">
        <v>142</v>
      </c>
      <c r="D20" s="8">
        <v>33</v>
      </c>
      <c r="E20">
        <f t="shared" si="7"/>
        <v>4303.030303030303</v>
      </c>
      <c r="G20">
        <v>129</v>
      </c>
      <c r="H20">
        <v>33</v>
      </c>
      <c r="I20">
        <f t="shared" si="5"/>
        <v>3909.090909090909</v>
      </c>
      <c r="J20">
        <f t="shared" si="6"/>
        <v>393.93939393939399</v>
      </c>
      <c r="K20">
        <f t="shared" si="4"/>
        <v>9.1549295774647899</v>
      </c>
    </row>
    <row r="21" spans="1:12" x14ac:dyDescent="0.25">
      <c r="A21" s="2">
        <v>44460</v>
      </c>
      <c r="B21" s="3" t="s">
        <v>114</v>
      </c>
      <c r="C21">
        <v>133</v>
      </c>
      <c r="D21" s="8">
        <v>33</v>
      </c>
      <c r="E21">
        <f t="shared" si="7"/>
        <v>4030.3030303030305</v>
      </c>
      <c r="G21">
        <v>126</v>
      </c>
      <c r="H21">
        <v>33</v>
      </c>
      <c r="I21">
        <f t="shared" si="5"/>
        <v>3818.1818181818185</v>
      </c>
      <c r="J21">
        <f t="shared" si="6"/>
        <v>212.12121212121201</v>
      </c>
      <c r="K21">
        <f t="shared" si="4"/>
        <v>5.2631578947368389</v>
      </c>
    </row>
    <row r="22" spans="1:12" x14ac:dyDescent="0.25">
      <c r="A22" s="2">
        <v>44460</v>
      </c>
      <c r="B22" s="3" t="s">
        <v>112</v>
      </c>
      <c r="C22">
        <v>115</v>
      </c>
      <c r="D22" s="8">
        <v>33</v>
      </c>
      <c r="E22">
        <f t="shared" si="7"/>
        <v>3484.848484848485</v>
      </c>
      <c r="G22">
        <v>126</v>
      </c>
      <c r="H22">
        <v>33</v>
      </c>
      <c r="I22">
        <f t="shared" si="5"/>
        <v>3818.1818181818185</v>
      </c>
      <c r="J22">
        <f t="shared" si="6"/>
        <v>-333.33333333333348</v>
      </c>
      <c r="K22">
        <f t="shared" si="4"/>
        <v>-9.565217391304353</v>
      </c>
    </row>
    <row r="23" spans="1:12" x14ac:dyDescent="0.25">
      <c r="A23" s="2"/>
    </row>
    <row r="24" spans="1:12" x14ac:dyDescent="0.25">
      <c r="A24" s="2">
        <v>44460</v>
      </c>
      <c r="B24" s="8" t="s">
        <v>109</v>
      </c>
      <c r="C24">
        <v>40841</v>
      </c>
      <c r="D24" s="8">
        <v>33</v>
      </c>
      <c r="E24">
        <f t="shared" ref="E24" si="8">+C24/D24*1000</f>
        <v>1237606.0606060605</v>
      </c>
    </row>
    <row r="25" spans="1:12" x14ac:dyDescent="0.25">
      <c r="A25" s="2"/>
    </row>
    <row r="26" spans="1:12" x14ac:dyDescent="0.25">
      <c r="A26" s="2"/>
    </row>
    <row r="27" spans="1:12" x14ac:dyDescent="0.25">
      <c r="A27" s="2" t="s">
        <v>122</v>
      </c>
    </row>
    <row r="28" spans="1:12" x14ac:dyDescent="0.25">
      <c r="A28" t="s">
        <v>121</v>
      </c>
      <c r="G28" t="s">
        <v>123</v>
      </c>
    </row>
    <row r="30" spans="1:12" x14ac:dyDescent="0.25">
      <c r="A30" s="6"/>
      <c r="E30">
        <f>AVERAGE(E4:E12)</f>
        <v>5821.5488215488213</v>
      </c>
    </row>
    <row r="31" spans="1:12" x14ac:dyDescent="0.25">
      <c r="E31">
        <f>AVERAGE(E15:E22)</f>
        <v>3928.030303030303</v>
      </c>
    </row>
    <row r="32" spans="1:12" x14ac:dyDescent="0.25">
      <c r="E32">
        <f>+(E31-E30)/E30</f>
        <v>-0.32526026604973968</v>
      </c>
    </row>
    <row r="34" spans="6:6" x14ac:dyDescent="0.25">
      <c r="F34" s="6"/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E38" sqref="E38"/>
    </sheetView>
  </sheetViews>
  <sheetFormatPr defaultRowHeight="15" x14ac:dyDescent="0.25"/>
  <cols>
    <col min="1" max="1" width="12" bestFit="1" customWidth="1"/>
    <col min="2" max="2" width="12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2" x14ac:dyDescent="0.25">
      <c r="C1" t="s">
        <v>4</v>
      </c>
      <c r="F1" s="4"/>
      <c r="G1" t="s">
        <v>4</v>
      </c>
      <c r="K1" s="2"/>
    </row>
    <row r="2" spans="1:12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2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2" x14ac:dyDescent="0.25">
      <c r="A4" s="2">
        <v>44461</v>
      </c>
      <c r="B4" s="3" t="s">
        <v>118</v>
      </c>
      <c r="C4">
        <v>199</v>
      </c>
      <c r="D4" s="8">
        <v>33</v>
      </c>
      <c r="E4">
        <f>+C4/D4*1000</f>
        <v>6030.30303030303</v>
      </c>
      <c r="G4">
        <v>165</v>
      </c>
      <c r="H4">
        <v>33</v>
      </c>
      <c r="I4">
        <f>+G4/H4*1000</f>
        <v>5000</v>
      </c>
      <c r="J4">
        <f t="shared" ref="J4:J12" si="0">+E4-I4</f>
        <v>1030.30303030303</v>
      </c>
      <c r="K4">
        <f t="shared" ref="K4:K12" si="1">+J4/E4*100</f>
        <v>17.085427135678387</v>
      </c>
    </row>
    <row r="5" spans="1:12" x14ac:dyDescent="0.25">
      <c r="A5" s="2">
        <v>44461</v>
      </c>
      <c r="B5" s="3" t="s">
        <v>119</v>
      </c>
      <c r="C5">
        <v>112</v>
      </c>
      <c r="D5" s="8">
        <v>33</v>
      </c>
      <c r="E5">
        <f t="shared" ref="E5:E12" si="2">+C5/D5*1000</f>
        <v>3393.939393939394</v>
      </c>
      <c r="G5">
        <v>112</v>
      </c>
      <c r="H5">
        <v>33</v>
      </c>
      <c r="I5">
        <f t="shared" ref="I5:I12" si="3">+G5/H5*1000</f>
        <v>3393.939393939394</v>
      </c>
      <c r="J5">
        <f t="shared" si="0"/>
        <v>0</v>
      </c>
      <c r="K5">
        <f t="shared" si="1"/>
        <v>0</v>
      </c>
    </row>
    <row r="6" spans="1:12" x14ac:dyDescent="0.25">
      <c r="A6" s="2">
        <v>44461</v>
      </c>
      <c r="B6" s="3" t="s">
        <v>116</v>
      </c>
      <c r="C6">
        <v>200</v>
      </c>
      <c r="D6" s="8">
        <v>33</v>
      </c>
      <c r="E6">
        <f t="shared" si="2"/>
        <v>6060.606060606061</v>
      </c>
      <c r="G6">
        <v>147</v>
      </c>
      <c r="H6">
        <v>33</v>
      </c>
      <c r="I6">
        <f t="shared" si="3"/>
        <v>4454.545454545454</v>
      </c>
      <c r="J6">
        <f t="shared" si="0"/>
        <v>1606.0606060606069</v>
      </c>
      <c r="K6">
        <f t="shared" si="1"/>
        <v>26.500000000000014</v>
      </c>
    </row>
    <row r="7" spans="1:12" x14ac:dyDescent="0.25">
      <c r="A7" s="2">
        <v>44461</v>
      </c>
      <c r="B7" s="3" t="s">
        <v>117</v>
      </c>
      <c r="C7">
        <v>218</v>
      </c>
      <c r="D7" s="8">
        <v>33</v>
      </c>
      <c r="E7">
        <f t="shared" si="2"/>
        <v>6606.060606060606</v>
      </c>
      <c r="G7">
        <v>197</v>
      </c>
      <c r="H7">
        <v>33</v>
      </c>
      <c r="I7">
        <f t="shared" si="3"/>
        <v>5969.69696969697</v>
      </c>
      <c r="J7">
        <f t="shared" si="0"/>
        <v>636.36363636363603</v>
      </c>
      <c r="K7">
        <f t="shared" si="1"/>
        <v>9.6330275229357749</v>
      </c>
      <c r="L7">
        <v>55</v>
      </c>
    </row>
    <row r="8" spans="1:12" x14ac:dyDescent="0.25">
      <c r="A8" s="2">
        <v>44461</v>
      </c>
      <c r="B8" s="3" t="s">
        <v>113</v>
      </c>
      <c r="C8">
        <v>231</v>
      </c>
      <c r="D8" s="8">
        <v>33</v>
      </c>
      <c r="E8">
        <f t="shared" si="2"/>
        <v>7000</v>
      </c>
      <c r="G8">
        <v>220</v>
      </c>
      <c r="H8">
        <v>33</v>
      </c>
      <c r="I8">
        <f t="shared" si="3"/>
        <v>6666.666666666667</v>
      </c>
      <c r="J8">
        <f t="shared" si="0"/>
        <v>333.33333333333303</v>
      </c>
      <c r="K8">
        <f t="shared" si="1"/>
        <v>4.7619047619047574</v>
      </c>
    </row>
    <row r="9" spans="1:12" x14ac:dyDescent="0.25">
      <c r="A9" s="2">
        <v>44461</v>
      </c>
      <c r="B9" s="3" t="s">
        <v>115</v>
      </c>
      <c r="C9">
        <v>230</v>
      </c>
      <c r="D9" s="8">
        <v>33</v>
      </c>
      <c r="E9">
        <f t="shared" si="2"/>
        <v>6969.69696969697</v>
      </c>
      <c r="G9">
        <v>197</v>
      </c>
      <c r="H9">
        <v>33</v>
      </c>
      <c r="I9">
        <f t="shared" si="3"/>
        <v>5969.69696969697</v>
      </c>
      <c r="J9">
        <f t="shared" si="0"/>
        <v>1000</v>
      </c>
      <c r="K9">
        <f t="shared" si="1"/>
        <v>14.347826086956522</v>
      </c>
    </row>
    <row r="10" spans="1:12" x14ac:dyDescent="0.25">
      <c r="A10" s="2">
        <v>44461</v>
      </c>
      <c r="B10" s="3" t="s">
        <v>114</v>
      </c>
      <c r="C10">
        <v>267</v>
      </c>
      <c r="D10" s="8">
        <v>33</v>
      </c>
      <c r="E10">
        <f t="shared" si="2"/>
        <v>8090.9090909090919</v>
      </c>
      <c r="G10">
        <v>250</v>
      </c>
      <c r="H10">
        <v>33</v>
      </c>
      <c r="I10">
        <f t="shared" si="3"/>
        <v>7575.757575757576</v>
      </c>
      <c r="J10">
        <f t="shared" si="0"/>
        <v>515.15151515151592</v>
      </c>
      <c r="K10">
        <f t="shared" si="1"/>
        <v>6.3670411985018811</v>
      </c>
    </row>
    <row r="11" spans="1:12" x14ac:dyDescent="0.25">
      <c r="A11" s="2">
        <v>44461</v>
      </c>
      <c r="B11" s="3" t="s">
        <v>112</v>
      </c>
      <c r="C11">
        <v>262</v>
      </c>
      <c r="D11" s="8">
        <v>33</v>
      </c>
      <c r="E11">
        <f t="shared" si="2"/>
        <v>7939.393939393939</v>
      </c>
      <c r="G11">
        <v>257</v>
      </c>
      <c r="H11">
        <v>33</v>
      </c>
      <c r="I11">
        <f t="shared" si="3"/>
        <v>7787.878787878788</v>
      </c>
      <c r="J11">
        <f t="shared" si="0"/>
        <v>151.51515151515105</v>
      </c>
      <c r="K11">
        <f t="shared" si="1"/>
        <v>1.9083969465648796</v>
      </c>
    </row>
    <row r="12" spans="1:12" x14ac:dyDescent="0.25">
      <c r="A12" s="2">
        <v>44461</v>
      </c>
      <c r="B12" s="3" t="s">
        <v>120</v>
      </c>
      <c r="C12">
        <v>259</v>
      </c>
      <c r="D12" s="8">
        <v>33</v>
      </c>
      <c r="E12">
        <f t="shared" si="2"/>
        <v>7848.484848484849</v>
      </c>
      <c r="G12">
        <v>239</v>
      </c>
      <c r="H12">
        <v>33</v>
      </c>
      <c r="I12">
        <f t="shared" si="3"/>
        <v>7242.424242424242</v>
      </c>
      <c r="J12">
        <f t="shared" si="0"/>
        <v>606.06060606060691</v>
      </c>
      <c r="K12">
        <f t="shared" si="1"/>
        <v>7.7220077220077332</v>
      </c>
    </row>
    <row r="13" spans="1:12" x14ac:dyDescent="0.25">
      <c r="A13" s="2"/>
    </row>
    <row r="14" spans="1:12" x14ac:dyDescent="0.25">
      <c r="A14" s="2"/>
    </row>
    <row r="15" spans="1:12" x14ac:dyDescent="0.25">
      <c r="A15" s="2">
        <v>44461</v>
      </c>
      <c r="B15" s="3" t="s">
        <v>118</v>
      </c>
      <c r="C15">
        <v>114</v>
      </c>
      <c r="D15" s="8">
        <v>33</v>
      </c>
      <c r="E15">
        <f>+C15/D15*1000</f>
        <v>3454.5454545454545</v>
      </c>
      <c r="G15">
        <v>94</v>
      </c>
      <c r="H15">
        <v>33</v>
      </c>
      <c r="I15">
        <f>+G15/H15*1000</f>
        <v>2848.4848484848485</v>
      </c>
      <c r="J15">
        <f>+E15-I15</f>
        <v>606.06060606060601</v>
      </c>
      <c r="K15">
        <f t="shared" ref="K15:K22" si="4">+J15/E15*100</f>
        <v>17.543859649122805</v>
      </c>
    </row>
    <row r="16" spans="1:12" x14ac:dyDescent="0.25">
      <c r="A16" s="2">
        <v>44461</v>
      </c>
      <c r="B16" s="3" t="s">
        <v>119</v>
      </c>
      <c r="C16">
        <v>135</v>
      </c>
      <c r="D16" s="8">
        <v>33</v>
      </c>
      <c r="E16">
        <f>+C16/D16*1000</f>
        <v>4090.909090909091</v>
      </c>
      <c r="G16">
        <v>98</v>
      </c>
      <c r="H16">
        <v>33</v>
      </c>
      <c r="I16">
        <f>+G16/H16*1000</f>
        <v>2969.6969696969695</v>
      </c>
      <c r="J16">
        <f>+E16-I16</f>
        <v>1121.2121212121215</v>
      </c>
      <c r="K16">
        <f t="shared" si="4"/>
        <v>27.407407407407412</v>
      </c>
    </row>
    <row r="17" spans="1:12" x14ac:dyDescent="0.25">
      <c r="A17" s="2">
        <v>44461</v>
      </c>
      <c r="B17" s="3" t="s">
        <v>116</v>
      </c>
      <c r="C17">
        <v>121</v>
      </c>
      <c r="D17" s="8">
        <v>33</v>
      </c>
      <c r="E17">
        <f>+C17/D17*1000</f>
        <v>3666.6666666666665</v>
      </c>
      <c r="G17">
        <v>106</v>
      </c>
      <c r="H17">
        <v>33</v>
      </c>
      <c r="I17">
        <f t="shared" ref="I17:I22" si="5">+G17/H17*1000</f>
        <v>3212.121212121212</v>
      </c>
      <c r="J17">
        <f t="shared" ref="J17:J22" si="6">+E17-I17</f>
        <v>454.5454545454545</v>
      </c>
      <c r="K17">
        <f t="shared" si="4"/>
        <v>12.396694214876032</v>
      </c>
    </row>
    <row r="18" spans="1:12" x14ac:dyDescent="0.25">
      <c r="A18" s="2">
        <v>44461</v>
      </c>
      <c r="B18" s="3" t="s">
        <v>117</v>
      </c>
      <c r="C18">
        <v>109</v>
      </c>
      <c r="D18" s="8">
        <v>33</v>
      </c>
      <c r="E18">
        <f>+C18/D18*1000</f>
        <v>3303.030303030303</v>
      </c>
      <c r="G18">
        <v>109</v>
      </c>
      <c r="H18">
        <v>33</v>
      </c>
      <c r="I18">
        <f>+G18/H18*1000</f>
        <v>3303.030303030303</v>
      </c>
      <c r="J18">
        <f t="shared" si="6"/>
        <v>0</v>
      </c>
      <c r="K18">
        <f t="shared" si="4"/>
        <v>0</v>
      </c>
      <c r="L18">
        <v>55</v>
      </c>
    </row>
    <row r="19" spans="1:12" x14ac:dyDescent="0.25">
      <c r="A19" s="2">
        <v>44461</v>
      </c>
      <c r="B19" s="3" t="s">
        <v>113</v>
      </c>
      <c r="C19">
        <v>89</v>
      </c>
      <c r="D19" s="8">
        <v>33</v>
      </c>
      <c r="E19">
        <f t="shared" ref="E19:E22" si="7">+C19/D19*1000</f>
        <v>2696.969696969697</v>
      </c>
      <c r="G19">
        <v>81</v>
      </c>
      <c r="H19">
        <v>33</v>
      </c>
      <c r="I19">
        <f t="shared" si="5"/>
        <v>2454.5454545454545</v>
      </c>
      <c r="J19">
        <f t="shared" si="6"/>
        <v>242.42424242424249</v>
      </c>
      <c r="K19">
        <f t="shared" si="4"/>
        <v>8.9887640449438226</v>
      </c>
    </row>
    <row r="20" spans="1:12" x14ac:dyDescent="0.25">
      <c r="A20" s="2">
        <v>44461</v>
      </c>
      <c r="B20" s="3" t="s">
        <v>115</v>
      </c>
      <c r="C20">
        <v>133</v>
      </c>
      <c r="D20" s="8">
        <v>33</v>
      </c>
      <c r="E20">
        <f t="shared" si="7"/>
        <v>4030.3030303030305</v>
      </c>
      <c r="G20">
        <v>108</v>
      </c>
      <c r="H20">
        <v>33</v>
      </c>
      <c r="I20">
        <f t="shared" si="5"/>
        <v>3272.727272727273</v>
      </c>
      <c r="J20">
        <f t="shared" si="6"/>
        <v>757.57575757575751</v>
      </c>
      <c r="K20">
        <f t="shared" si="4"/>
        <v>18.796992481203002</v>
      </c>
    </row>
    <row r="21" spans="1:12" x14ac:dyDescent="0.25">
      <c r="A21" s="2">
        <v>44461</v>
      </c>
      <c r="B21" s="3" t="s">
        <v>114</v>
      </c>
      <c r="C21">
        <v>128</v>
      </c>
      <c r="D21" s="8">
        <v>33</v>
      </c>
      <c r="E21">
        <f t="shared" si="7"/>
        <v>3878.787878787879</v>
      </c>
      <c r="G21">
        <v>90</v>
      </c>
      <c r="H21">
        <v>33</v>
      </c>
      <c r="I21">
        <f t="shared" si="5"/>
        <v>2727.272727272727</v>
      </c>
      <c r="J21">
        <f t="shared" si="6"/>
        <v>1151.515151515152</v>
      </c>
      <c r="K21">
        <f t="shared" si="4"/>
        <v>29.687500000000011</v>
      </c>
    </row>
    <row r="22" spans="1:12" x14ac:dyDescent="0.25">
      <c r="A22" s="2">
        <v>44461</v>
      </c>
      <c r="B22" s="3" t="s">
        <v>112</v>
      </c>
      <c r="C22">
        <v>134</v>
      </c>
      <c r="D22" s="8">
        <v>33</v>
      </c>
      <c r="E22">
        <f t="shared" si="7"/>
        <v>4060.6060606060605</v>
      </c>
      <c r="G22">
        <v>95</v>
      </c>
      <c r="H22">
        <v>33</v>
      </c>
      <c r="I22">
        <f t="shared" si="5"/>
        <v>2878.787878787879</v>
      </c>
      <c r="J22">
        <f t="shared" si="6"/>
        <v>1181.8181818181815</v>
      </c>
      <c r="K22">
        <f t="shared" si="4"/>
        <v>29.104477611940293</v>
      </c>
    </row>
    <row r="23" spans="1:12" x14ac:dyDescent="0.25">
      <c r="A23" s="2"/>
    </row>
    <row r="24" spans="1:12" x14ac:dyDescent="0.25">
      <c r="A24" s="2"/>
      <c r="B24" s="8"/>
    </row>
    <row r="25" spans="1:12" x14ac:dyDescent="0.25">
      <c r="A25" s="2"/>
    </row>
    <row r="26" spans="1:12" x14ac:dyDescent="0.25">
      <c r="A26" s="2"/>
    </row>
    <row r="27" spans="1:12" x14ac:dyDescent="0.25">
      <c r="A27" s="2" t="s">
        <v>124</v>
      </c>
    </row>
    <row r="29" spans="1:12" x14ac:dyDescent="0.25">
      <c r="E29">
        <f>AVERAGE(E4:E12)</f>
        <v>6659.9326599326596</v>
      </c>
    </row>
    <row r="30" spans="1:12" x14ac:dyDescent="0.25">
      <c r="A30" s="6"/>
      <c r="E30">
        <f>AVERAGE(E15:E22)</f>
        <v>3647.727272727273</v>
      </c>
    </row>
    <row r="31" spans="1:12" x14ac:dyDescent="0.25">
      <c r="E31">
        <f>+(E30-E29)/E29</f>
        <v>-0.45228766430738115</v>
      </c>
    </row>
    <row r="34" spans="6:6" x14ac:dyDescent="0.25">
      <c r="F34" s="6"/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" sqref="G2"/>
    </sheetView>
  </sheetViews>
  <sheetFormatPr defaultRowHeight="15" x14ac:dyDescent="0.25"/>
  <cols>
    <col min="1" max="1" width="9.7109375" bestFit="1" customWidth="1"/>
    <col min="3" max="3" width="10" bestFit="1" customWidth="1"/>
    <col min="7" max="7" width="9.7109375" bestFit="1" customWidth="1"/>
    <col min="32" max="32" width="15.28515625" customWidth="1"/>
  </cols>
  <sheetData>
    <row r="1" spans="1:14" x14ac:dyDescent="0.25">
      <c r="C1" t="s">
        <v>4</v>
      </c>
      <c r="H1" s="4"/>
      <c r="I1" t="s">
        <v>4</v>
      </c>
      <c r="M1" s="2"/>
    </row>
    <row r="2" spans="1:14" x14ac:dyDescent="0.25">
      <c r="A2" t="s">
        <v>17</v>
      </c>
      <c r="C2" t="s">
        <v>5</v>
      </c>
      <c r="G2" s="2"/>
      <c r="H2" s="5">
        <v>0.3263888888888889</v>
      </c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44406</v>
      </c>
      <c r="B4">
        <v>1</v>
      </c>
      <c r="C4" s="1">
        <v>1273</v>
      </c>
      <c r="D4">
        <v>33</v>
      </c>
      <c r="E4">
        <f>+C4/33*1000</f>
        <v>38575.757575757576</v>
      </c>
      <c r="G4" s="2">
        <v>44407</v>
      </c>
      <c r="H4">
        <v>1</v>
      </c>
      <c r="I4">
        <v>499</v>
      </c>
      <c r="J4">
        <v>33</v>
      </c>
      <c r="K4">
        <f t="shared" ref="K4:K18" si="0">+I4/J4*1000</f>
        <v>15121.212121212122</v>
      </c>
      <c r="L4">
        <f>+E4-K4</f>
        <v>23454.545454545456</v>
      </c>
      <c r="M4">
        <f>+L4/22.08</f>
        <v>1062.2529644268777</v>
      </c>
      <c r="N4">
        <f>AVERAGE(M4:M8)</f>
        <v>1025.0692197588621</v>
      </c>
    </row>
    <row r="5" spans="1:14" x14ac:dyDescent="0.25">
      <c r="A5" s="2">
        <v>44406</v>
      </c>
      <c r="B5">
        <v>2</v>
      </c>
      <c r="C5">
        <v>1199</v>
      </c>
      <c r="D5">
        <v>33</v>
      </c>
      <c r="E5">
        <f t="shared" ref="E5:E18" si="1">+C5/33*1000</f>
        <v>36333.333333333336</v>
      </c>
      <c r="G5" s="2">
        <v>44407</v>
      </c>
      <c r="H5">
        <v>2</v>
      </c>
      <c r="I5">
        <v>419</v>
      </c>
      <c r="J5">
        <v>33</v>
      </c>
      <c r="K5">
        <f t="shared" si="0"/>
        <v>12696.969696969698</v>
      </c>
      <c r="L5">
        <f>+E5-K5</f>
        <v>23636.36363636364</v>
      </c>
      <c r="M5">
        <f t="shared" ref="M5:M18" si="2">+L5/23.15</f>
        <v>1021.0092283526411</v>
      </c>
    </row>
    <row r="6" spans="1:14" x14ac:dyDescent="0.25">
      <c r="A6" s="2">
        <v>44406</v>
      </c>
      <c r="B6">
        <v>3</v>
      </c>
      <c r="C6">
        <v>1307</v>
      </c>
      <c r="D6">
        <v>33</v>
      </c>
      <c r="E6">
        <f t="shared" si="1"/>
        <v>39606.060606060608</v>
      </c>
      <c r="G6" s="2">
        <v>44407</v>
      </c>
      <c r="H6">
        <v>3</v>
      </c>
      <c r="I6">
        <v>536</v>
      </c>
      <c r="J6">
        <v>33</v>
      </c>
      <c r="K6">
        <f t="shared" si="0"/>
        <v>16242.424242424242</v>
      </c>
      <c r="L6">
        <f t="shared" ref="L6:L18" si="3">+E6-K6</f>
        <v>23363.636363636368</v>
      </c>
      <c r="M6">
        <f t="shared" si="2"/>
        <v>1009.2283526408798</v>
      </c>
    </row>
    <row r="7" spans="1:14" x14ac:dyDescent="0.25">
      <c r="A7" s="2">
        <v>44406</v>
      </c>
      <c r="B7">
        <v>4</v>
      </c>
      <c r="C7">
        <v>1129</v>
      </c>
      <c r="D7">
        <v>33</v>
      </c>
      <c r="E7">
        <f t="shared" si="1"/>
        <v>34212.121212121208</v>
      </c>
      <c r="G7" s="2">
        <v>44407</v>
      </c>
      <c r="H7">
        <v>4</v>
      </c>
      <c r="I7">
        <v>453</v>
      </c>
      <c r="J7">
        <v>33</v>
      </c>
      <c r="K7">
        <f t="shared" si="0"/>
        <v>13727.272727272726</v>
      </c>
      <c r="L7">
        <f t="shared" si="3"/>
        <v>20484.84848484848</v>
      </c>
      <c r="M7">
        <f t="shared" si="2"/>
        <v>884.87466457228868</v>
      </c>
    </row>
    <row r="8" spans="1:14" x14ac:dyDescent="0.25">
      <c r="A8" s="2">
        <v>44406</v>
      </c>
      <c r="B8">
        <v>5</v>
      </c>
      <c r="C8">
        <v>1363</v>
      </c>
      <c r="D8">
        <v>33</v>
      </c>
      <c r="E8">
        <f t="shared" si="1"/>
        <v>41303.030303030304</v>
      </c>
      <c r="G8" s="2">
        <v>44407</v>
      </c>
      <c r="H8">
        <v>5</v>
      </c>
      <c r="I8">
        <v>486</v>
      </c>
      <c r="J8">
        <v>33</v>
      </c>
      <c r="K8">
        <f t="shared" si="0"/>
        <v>14727.272727272726</v>
      </c>
      <c r="L8">
        <f t="shared" si="3"/>
        <v>26575.757575757576</v>
      </c>
      <c r="M8">
        <f t="shared" si="2"/>
        <v>1147.9808888016232</v>
      </c>
    </row>
    <row r="9" spans="1:14" x14ac:dyDescent="0.25">
      <c r="A9" s="2">
        <v>44406</v>
      </c>
      <c r="B9">
        <v>6</v>
      </c>
      <c r="C9">
        <v>1204</v>
      </c>
      <c r="D9">
        <v>33</v>
      </c>
      <c r="E9">
        <f t="shared" si="1"/>
        <v>36484.848484848488</v>
      </c>
      <c r="G9" s="2">
        <v>44407</v>
      </c>
      <c r="H9">
        <v>6</v>
      </c>
      <c r="I9">
        <v>456</v>
      </c>
      <c r="J9">
        <v>33</v>
      </c>
      <c r="K9">
        <f t="shared" si="0"/>
        <v>13818.181818181818</v>
      </c>
      <c r="L9">
        <f t="shared" si="3"/>
        <v>22666.666666666672</v>
      </c>
      <c r="M9">
        <f t="shared" si="2"/>
        <v>979.12167026637894</v>
      </c>
      <c r="N9">
        <f>AVERAGE(M9:M13)</f>
        <v>1006.8721774985275</v>
      </c>
    </row>
    <row r="10" spans="1:14" x14ac:dyDescent="0.25">
      <c r="A10" s="2">
        <v>44406</v>
      </c>
      <c r="B10">
        <v>7</v>
      </c>
      <c r="C10">
        <v>1178</v>
      </c>
      <c r="D10">
        <v>33</v>
      </c>
      <c r="E10">
        <f t="shared" si="1"/>
        <v>35696.969696969696</v>
      </c>
      <c r="G10" s="2">
        <v>44407</v>
      </c>
      <c r="H10">
        <v>7</v>
      </c>
      <c r="I10">
        <v>435</v>
      </c>
      <c r="J10">
        <v>33</v>
      </c>
      <c r="K10">
        <f t="shared" si="0"/>
        <v>13181.818181818182</v>
      </c>
      <c r="L10">
        <f t="shared" si="3"/>
        <v>22515.151515151512</v>
      </c>
      <c r="M10">
        <f t="shared" si="2"/>
        <v>972.57673931540012</v>
      </c>
    </row>
    <row r="11" spans="1:14" x14ac:dyDescent="0.25">
      <c r="A11" s="2">
        <v>44406</v>
      </c>
      <c r="B11">
        <v>8</v>
      </c>
      <c r="C11">
        <v>1208</v>
      </c>
      <c r="D11">
        <v>33</v>
      </c>
      <c r="E11">
        <f t="shared" si="1"/>
        <v>36606.060606060608</v>
      </c>
      <c r="G11" s="2">
        <v>44407</v>
      </c>
      <c r="H11">
        <v>8</v>
      </c>
      <c r="I11">
        <v>452</v>
      </c>
      <c r="J11">
        <v>33</v>
      </c>
      <c r="K11">
        <f t="shared" si="0"/>
        <v>13696.969696969698</v>
      </c>
      <c r="L11">
        <f t="shared" si="3"/>
        <v>22909.090909090912</v>
      </c>
      <c r="M11">
        <f t="shared" si="2"/>
        <v>989.5935597879444</v>
      </c>
    </row>
    <row r="12" spans="1:14" x14ac:dyDescent="0.25">
      <c r="A12" s="2">
        <v>44406</v>
      </c>
      <c r="B12">
        <v>9</v>
      </c>
      <c r="C12">
        <v>1262</v>
      </c>
      <c r="D12">
        <v>33</v>
      </c>
      <c r="E12">
        <f t="shared" si="1"/>
        <v>38242.42424242424</v>
      </c>
      <c r="G12" s="2">
        <v>44407</v>
      </c>
      <c r="H12">
        <v>9</v>
      </c>
      <c r="I12">
        <v>397</v>
      </c>
      <c r="J12">
        <v>33</v>
      </c>
      <c r="K12">
        <f t="shared" si="0"/>
        <v>12030.303030303032</v>
      </c>
      <c r="L12">
        <f t="shared" si="3"/>
        <v>26212.121212121208</v>
      </c>
      <c r="M12">
        <f t="shared" si="2"/>
        <v>1132.2730545192746</v>
      </c>
    </row>
    <row r="13" spans="1:14" x14ac:dyDescent="0.25">
      <c r="A13" s="2">
        <v>44406</v>
      </c>
      <c r="B13">
        <v>10</v>
      </c>
      <c r="C13">
        <v>1132</v>
      </c>
      <c r="D13">
        <v>33</v>
      </c>
      <c r="E13">
        <f t="shared" si="1"/>
        <v>34303.030303030304</v>
      </c>
      <c r="G13" s="2">
        <v>44407</v>
      </c>
      <c r="H13">
        <v>10</v>
      </c>
      <c r="I13">
        <v>398</v>
      </c>
      <c r="J13">
        <v>33</v>
      </c>
      <c r="K13">
        <f t="shared" si="0"/>
        <v>12060.60606060606</v>
      </c>
      <c r="L13">
        <f t="shared" si="3"/>
        <v>22242.424242424244</v>
      </c>
      <c r="M13">
        <f t="shared" si="2"/>
        <v>960.79586360363908</v>
      </c>
    </row>
    <row r="14" spans="1:14" x14ac:dyDescent="0.25">
      <c r="A14" s="2">
        <v>44406</v>
      </c>
      <c r="B14">
        <v>11</v>
      </c>
      <c r="C14">
        <v>1253</v>
      </c>
      <c r="D14">
        <v>33</v>
      </c>
      <c r="E14">
        <f t="shared" si="1"/>
        <v>37969.696969696968</v>
      </c>
      <c r="G14" s="2">
        <v>44407</v>
      </c>
      <c r="H14">
        <v>11</v>
      </c>
      <c r="I14">
        <v>529</v>
      </c>
      <c r="J14">
        <v>33</v>
      </c>
      <c r="K14">
        <f t="shared" si="0"/>
        <v>16030.303030303032</v>
      </c>
      <c r="L14">
        <f t="shared" si="3"/>
        <v>21939.393939393936</v>
      </c>
      <c r="M14">
        <f t="shared" si="2"/>
        <v>947.706001701682</v>
      </c>
      <c r="N14">
        <f>AVERAGE(M14:M18)</f>
        <v>813.40401858760401</v>
      </c>
    </row>
    <row r="15" spans="1:14" x14ac:dyDescent="0.25">
      <c r="A15" s="2">
        <v>44406</v>
      </c>
      <c r="B15">
        <v>12</v>
      </c>
      <c r="C15">
        <v>1115</v>
      </c>
      <c r="D15">
        <v>33</v>
      </c>
      <c r="E15">
        <f t="shared" si="1"/>
        <v>33787.878787878792</v>
      </c>
      <c r="G15" s="2">
        <v>44407</v>
      </c>
      <c r="H15">
        <v>12</v>
      </c>
      <c r="I15">
        <v>667</v>
      </c>
      <c r="J15">
        <v>33</v>
      </c>
      <c r="K15">
        <f t="shared" si="0"/>
        <v>20212.121212121212</v>
      </c>
      <c r="L15">
        <f t="shared" si="3"/>
        <v>13575.75757575758</v>
      </c>
      <c r="M15">
        <f t="shared" si="2"/>
        <v>586.4258132076709</v>
      </c>
    </row>
    <row r="16" spans="1:14" x14ac:dyDescent="0.25">
      <c r="A16" s="2">
        <v>44406</v>
      </c>
      <c r="B16">
        <v>13</v>
      </c>
      <c r="C16">
        <v>1187</v>
      </c>
      <c r="D16">
        <v>33</v>
      </c>
      <c r="E16">
        <f t="shared" si="1"/>
        <v>35969.696969696968</v>
      </c>
      <c r="G16" s="2">
        <v>44407</v>
      </c>
      <c r="H16">
        <v>13</v>
      </c>
      <c r="I16">
        <v>478</v>
      </c>
      <c r="J16">
        <v>33</v>
      </c>
      <c r="K16">
        <f t="shared" si="0"/>
        <v>14484.848484848484</v>
      </c>
      <c r="L16">
        <f t="shared" si="3"/>
        <v>21484.848484848484</v>
      </c>
      <c r="M16">
        <f t="shared" si="2"/>
        <v>928.07120884874666</v>
      </c>
    </row>
    <row r="17" spans="1:13" x14ac:dyDescent="0.25">
      <c r="A17" s="2">
        <v>44406</v>
      </c>
      <c r="B17">
        <v>14</v>
      </c>
      <c r="C17">
        <v>1174</v>
      </c>
      <c r="D17">
        <v>33</v>
      </c>
      <c r="E17">
        <f t="shared" si="1"/>
        <v>35575.757575757576</v>
      </c>
      <c r="G17" s="2">
        <v>44407</v>
      </c>
      <c r="H17">
        <v>14</v>
      </c>
      <c r="I17">
        <v>554</v>
      </c>
      <c r="J17">
        <v>33</v>
      </c>
      <c r="K17">
        <f t="shared" si="0"/>
        <v>16787.878787878788</v>
      </c>
      <c r="L17">
        <f t="shared" si="3"/>
        <v>18787.878787878788</v>
      </c>
      <c r="M17">
        <f t="shared" si="2"/>
        <v>811.57143792133002</v>
      </c>
    </row>
    <row r="18" spans="1:13" x14ac:dyDescent="0.25">
      <c r="A18" s="2">
        <v>44406</v>
      </c>
      <c r="B18">
        <v>15</v>
      </c>
      <c r="C18">
        <v>1123</v>
      </c>
      <c r="D18">
        <v>33</v>
      </c>
      <c r="E18">
        <f t="shared" si="1"/>
        <v>34030.303030303032</v>
      </c>
      <c r="G18" s="2">
        <v>44407</v>
      </c>
      <c r="H18">
        <v>15</v>
      </c>
      <c r="I18">
        <v>517</v>
      </c>
      <c r="J18">
        <v>33</v>
      </c>
      <c r="K18">
        <f t="shared" si="0"/>
        <v>15666.666666666666</v>
      </c>
      <c r="L18">
        <f t="shared" si="3"/>
        <v>18363.636363636368</v>
      </c>
      <c r="M18">
        <f t="shared" si="2"/>
        <v>793.24563125859049</v>
      </c>
    </row>
    <row r="27" spans="1:13" x14ac:dyDescent="0.25">
      <c r="C2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E31" sqref="E29:E31"/>
    </sheetView>
  </sheetViews>
  <sheetFormatPr defaultRowHeight="15" x14ac:dyDescent="0.25"/>
  <cols>
    <col min="1" max="1" width="12" bestFit="1" customWidth="1"/>
    <col min="2" max="2" width="12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2" x14ac:dyDescent="0.25">
      <c r="C1" t="s">
        <v>4</v>
      </c>
      <c r="F1" s="4"/>
      <c r="G1" t="s">
        <v>4</v>
      </c>
      <c r="K1" s="2"/>
    </row>
    <row r="2" spans="1:12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2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2" x14ac:dyDescent="0.25">
      <c r="A4" s="2">
        <v>44462</v>
      </c>
      <c r="B4" s="3" t="s">
        <v>118</v>
      </c>
      <c r="C4">
        <v>189</v>
      </c>
      <c r="D4" s="8">
        <v>33</v>
      </c>
      <c r="E4">
        <f>+C4/D4*1000</f>
        <v>5727.2727272727279</v>
      </c>
      <c r="G4">
        <v>159</v>
      </c>
      <c r="H4">
        <v>33</v>
      </c>
      <c r="I4">
        <f>+G4/H4*1000</f>
        <v>4818.181818181818</v>
      </c>
      <c r="J4">
        <f t="shared" ref="J4:J12" si="0">+E4-I4</f>
        <v>909.09090909090992</v>
      </c>
      <c r="K4">
        <f t="shared" ref="K4:K12" si="1">+J4/E4*100</f>
        <v>15.873015873015886</v>
      </c>
    </row>
    <row r="5" spans="1:12" x14ac:dyDescent="0.25">
      <c r="A5" s="2">
        <v>44462</v>
      </c>
      <c r="B5" s="3" t="s">
        <v>119</v>
      </c>
      <c r="C5">
        <v>176</v>
      </c>
      <c r="D5" s="8">
        <v>33</v>
      </c>
      <c r="E5">
        <f t="shared" ref="E5:E12" si="2">+C5/D5*1000</f>
        <v>5333.333333333333</v>
      </c>
      <c r="G5">
        <v>143</v>
      </c>
      <c r="H5">
        <v>33</v>
      </c>
      <c r="I5">
        <f t="shared" ref="I5:I12" si="3">+G5/H5*1000</f>
        <v>4333.333333333333</v>
      </c>
      <c r="J5">
        <f t="shared" si="0"/>
        <v>1000</v>
      </c>
      <c r="K5">
        <f t="shared" si="1"/>
        <v>18.75</v>
      </c>
    </row>
    <row r="6" spans="1:12" x14ac:dyDescent="0.25">
      <c r="A6" s="2">
        <v>44462</v>
      </c>
      <c r="B6" s="3" t="s">
        <v>116</v>
      </c>
      <c r="C6">
        <v>199</v>
      </c>
      <c r="D6" s="8">
        <v>33</v>
      </c>
      <c r="E6">
        <f t="shared" si="2"/>
        <v>6030.30303030303</v>
      </c>
      <c r="G6">
        <v>179</v>
      </c>
      <c r="H6">
        <v>33</v>
      </c>
      <c r="I6">
        <f t="shared" si="3"/>
        <v>5424.242424242424</v>
      </c>
      <c r="J6">
        <f t="shared" si="0"/>
        <v>606.06060606060601</v>
      </c>
      <c r="K6">
        <f t="shared" si="1"/>
        <v>10.050251256281406</v>
      </c>
    </row>
    <row r="7" spans="1:12" x14ac:dyDescent="0.25">
      <c r="A7" s="2">
        <v>44462</v>
      </c>
      <c r="B7" s="3" t="s">
        <v>117</v>
      </c>
      <c r="C7">
        <v>211</v>
      </c>
      <c r="D7" s="8">
        <v>33</v>
      </c>
      <c r="E7">
        <f t="shared" si="2"/>
        <v>6393.939393939394</v>
      </c>
      <c r="G7">
        <v>202</v>
      </c>
      <c r="H7">
        <v>33</v>
      </c>
      <c r="I7">
        <f t="shared" si="3"/>
        <v>6121.212121212121</v>
      </c>
      <c r="J7">
        <f t="shared" si="0"/>
        <v>272.72727272727298</v>
      </c>
      <c r="K7">
        <f t="shared" si="1"/>
        <v>4.2654028436018994</v>
      </c>
      <c r="L7">
        <v>55</v>
      </c>
    </row>
    <row r="8" spans="1:12" x14ac:dyDescent="0.25">
      <c r="A8" s="2">
        <v>44462</v>
      </c>
      <c r="B8" s="3" t="s">
        <v>113</v>
      </c>
      <c r="C8">
        <v>240</v>
      </c>
      <c r="D8" s="8">
        <v>33</v>
      </c>
      <c r="E8">
        <f t="shared" si="2"/>
        <v>7272.7272727272721</v>
      </c>
      <c r="G8">
        <v>205</v>
      </c>
      <c r="H8">
        <v>33</v>
      </c>
      <c r="I8">
        <f t="shared" si="3"/>
        <v>6212.121212121212</v>
      </c>
      <c r="J8">
        <f t="shared" si="0"/>
        <v>1060.6060606060601</v>
      </c>
      <c r="K8">
        <f t="shared" si="1"/>
        <v>14.583333333333325</v>
      </c>
    </row>
    <row r="9" spans="1:12" x14ac:dyDescent="0.25">
      <c r="A9" s="2">
        <v>44462</v>
      </c>
      <c r="B9" s="3" t="s">
        <v>115</v>
      </c>
      <c r="C9">
        <v>220</v>
      </c>
      <c r="D9" s="8">
        <v>33</v>
      </c>
      <c r="E9">
        <f t="shared" si="2"/>
        <v>6666.666666666667</v>
      </c>
      <c r="G9">
        <v>210</v>
      </c>
      <c r="H9">
        <v>33</v>
      </c>
      <c r="I9">
        <f t="shared" si="3"/>
        <v>6363.6363636363631</v>
      </c>
      <c r="J9">
        <f t="shared" si="0"/>
        <v>303.03030303030391</v>
      </c>
      <c r="K9">
        <f t="shared" si="1"/>
        <v>4.5454545454545592</v>
      </c>
    </row>
    <row r="10" spans="1:12" x14ac:dyDescent="0.25">
      <c r="A10" s="2">
        <v>44462</v>
      </c>
      <c r="B10" s="3" t="s">
        <v>114</v>
      </c>
      <c r="C10">
        <v>239</v>
      </c>
      <c r="D10" s="8">
        <v>33</v>
      </c>
      <c r="E10">
        <f t="shared" si="2"/>
        <v>7242.424242424242</v>
      </c>
      <c r="G10">
        <v>220</v>
      </c>
      <c r="H10">
        <v>33</v>
      </c>
      <c r="I10">
        <f t="shared" si="3"/>
        <v>6666.666666666667</v>
      </c>
      <c r="J10">
        <f t="shared" si="0"/>
        <v>575.75757575757507</v>
      </c>
      <c r="K10">
        <f t="shared" si="1"/>
        <v>7.9497907949790712</v>
      </c>
    </row>
    <row r="11" spans="1:12" x14ac:dyDescent="0.25">
      <c r="A11" s="2">
        <v>44462</v>
      </c>
      <c r="B11" s="3" t="s">
        <v>112</v>
      </c>
      <c r="C11">
        <v>274</v>
      </c>
      <c r="D11" s="8">
        <v>33</v>
      </c>
      <c r="E11">
        <f t="shared" si="2"/>
        <v>8303.0303030303021</v>
      </c>
      <c r="G11">
        <v>223</v>
      </c>
      <c r="H11">
        <v>33</v>
      </c>
      <c r="I11">
        <f t="shared" si="3"/>
        <v>6757.575757575758</v>
      </c>
      <c r="J11">
        <f t="shared" si="0"/>
        <v>1545.4545454545441</v>
      </c>
      <c r="K11">
        <f t="shared" si="1"/>
        <v>18.613138686131371</v>
      </c>
    </row>
    <row r="12" spans="1:12" x14ac:dyDescent="0.25">
      <c r="A12" s="2">
        <v>44462</v>
      </c>
      <c r="B12" s="3" t="s">
        <v>120</v>
      </c>
      <c r="C12">
        <v>289</v>
      </c>
      <c r="D12" s="8">
        <v>33</v>
      </c>
      <c r="E12">
        <f t="shared" si="2"/>
        <v>8757.575757575758</v>
      </c>
      <c r="G12">
        <v>195</v>
      </c>
      <c r="H12">
        <v>33</v>
      </c>
      <c r="I12">
        <f t="shared" si="3"/>
        <v>5909.090909090909</v>
      </c>
      <c r="J12">
        <f t="shared" si="0"/>
        <v>2848.484848484849</v>
      </c>
      <c r="K12">
        <f t="shared" si="1"/>
        <v>32.525951557093428</v>
      </c>
    </row>
    <row r="13" spans="1:12" x14ac:dyDescent="0.25">
      <c r="A13" s="2"/>
    </row>
    <row r="14" spans="1:12" x14ac:dyDescent="0.25">
      <c r="A14" s="2"/>
    </row>
    <row r="15" spans="1:12" x14ac:dyDescent="0.25">
      <c r="A15" s="2">
        <v>44462</v>
      </c>
      <c r="B15" s="3" t="s">
        <v>118</v>
      </c>
      <c r="C15">
        <v>92</v>
      </c>
      <c r="D15" s="8">
        <v>33</v>
      </c>
      <c r="E15">
        <f>+C15/D15*1000</f>
        <v>2787.878787878788</v>
      </c>
      <c r="G15">
        <v>70</v>
      </c>
      <c r="H15">
        <v>33</v>
      </c>
      <c r="I15">
        <f>+G15/H15*1000</f>
        <v>2121.212121212121</v>
      </c>
      <c r="J15">
        <f>+E15-I15</f>
        <v>666.66666666666697</v>
      </c>
      <c r="K15">
        <f t="shared" ref="K15:K22" si="4">+J15/E15*100</f>
        <v>23.913043478260878</v>
      </c>
    </row>
    <row r="16" spans="1:12" x14ac:dyDescent="0.25">
      <c r="A16" s="2">
        <v>44462</v>
      </c>
      <c r="B16" s="3" t="s">
        <v>119</v>
      </c>
      <c r="C16">
        <v>105</v>
      </c>
      <c r="D16" s="8">
        <v>33</v>
      </c>
      <c r="E16">
        <f>+C16/D16*1000</f>
        <v>3181.8181818181815</v>
      </c>
      <c r="G16">
        <v>97</v>
      </c>
      <c r="H16">
        <v>33</v>
      </c>
      <c r="I16">
        <f>+G16/H16*1000</f>
        <v>2939.3939393939395</v>
      </c>
      <c r="J16">
        <f>+E16-I16</f>
        <v>242.42424242424204</v>
      </c>
      <c r="K16">
        <f t="shared" si="4"/>
        <v>7.6190476190476071</v>
      </c>
    </row>
    <row r="17" spans="1:12" x14ac:dyDescent="0.25">
      <c r="A17" s="2">
        <v>44462</v>
      </c>
      <c r="B17" s="3" t="s">
        <v>116</v>
      </c>
      <c r="C17">
        <v>113</v>
      </c>
      <c r="D17" s="8">
        <v>33</v>
      </c>
      <c r="E17">
        <f>+C17/D17*1000</f>
        <v>3424.2424242424245</v>
      </c>
      <c r="G17">
        <v>80</v>
      </c>
      <c r="H17">
        <v>33</v>
      </c>
      <c r="I17">
        <f t="shared" ref="I17:I22" si="5">+G17/H17*1000</f>
        <v>2424.2424242424245</v>
      </c>
      <c r="J17">
        <f t="shared" ref="J17:J22" si="6">+E17-I17</f>
        <v>1000</v>
      </c>
      <c r="K17">
        <f t="shared" si="4"/>
        <v>29.203539823008846</v>
      </c>
    </row>
    <row r="18" spans="1:12" x14ac:dyDescent="0.25">
      <c r="A18" s="2">
        <v>44462</v>
      </c>
      <c r="B18" s="3" t="s">
        <v>117</v>
      </c>
      <c r="C18">
        <v>111</v>
      </c>
      <c r="D18" s="8">
        <v>33</v>
      </c>
      <c r="E18">
        <f>+C18/D18*1000</f>
        <v>3363.636363636364</v>
      </c>
      <c r="G18">
        <v>104</v>
      </c>
      <c r="H18">
        <v>33</v>
      </c>
      <c r="I18">
        <f>+G18/H18*1000</f>
        <v>3151.5151515151515</v>
      </c>
      <c r="J18">
        <f t="shared" si="6"/>
        <v>212.12121212121247</v>
      </c>
      <c r="K18">
        <f t="shared" si="4"/>
        <v>6.3063063063063156</v>
      </c>
      <c r="L18">
        <v>55</v>
      </c>
    </row>
    <row r="19" spans="1:12" x14ac:dyDescent="0.25">
      <c r="A19" s="2">
        <v>44462</v>
      </c>
      <c r="B19" s="3" t="s">
        <v>113</v>
      </c>
      <c r="C19">
        <v>118</v>
      </c>
      <c r="D19" s="8">
        <v>33</v>
      </c>
      <c r="E19">
        <f t="shared" ref="E19:E22" si="7">+C19/D19*1000</f>
        <v>3575.7575757575755</v>
      </c>
      <c r="G19">
        <v>88</v>
      </c>
      <c r="H19">
        <v>33</v>
      </c>
      <c r="I19">
        <f t="shared" si="5"/>
        <v>2666.6666666666665</v>
      </c>
      <c r="J19">
        <f t="shared" si="6"/>
        <v>909.09090909090901</v>
      </c>
      <c r="K19">
        <f t="shared" si="4"/>
        <v>25.423728813559322</v>
      </c>
    </row>
    <row r="20" spans="1:12" x14ac:dyDescent="0.25">
      <c r="A20" s="2">
        <v>44462</v>
      </c>
      <c r="B20" s="3" t="s">
        <v>115</v>
      </c>
      <c r="C20">
        <v>113</v>
      </c>
      <c r="D20" s="8">
        <v>33</v>
      </c>
      <c r="E20">
        <f t="shared" si="7"/>
        <v>3424.2424242424245</v>
      </c>
      <c r="G20">
        <v>95</v>
      </c>
      <c r="H20">
        <v>33</v>
      </c>
      <c r="I20">
        <f t="shared" si="5"/>
        <v>2878.787878787879</v>
      </c>
      <c r="J20">
        <f t="shared" si="6"/>
        <v>545.4545454545455</v>
      </c>
      <c r="K20">
        <f t="shared" si="4"/>
        <v>15.929203539823009</v>
      </c>
    </row>
    <row r="21" spans="1:12" x14ac:dyDescent="0.25">
      <c r="A21" s="2">
        <v>44462</v>
      </c>
      <c r="B21" s="3" t="s">
        <v>114</v>
      </c>
      <c r="C21">
        <v>87</v>
      </c>
      <c r="D21" s="8">
        <v>33</v>
      </c>
      <c r="E21">
        <f t="shared" si="7"/>
        <v>2636.363636363636</v>
      </c>
      <c r="G21">
        <v>107</v>
      </c>
      <c r="H21">
        <v>33</v>
      </c>
      <c r="I21">
        <f t="shared" si="5"/>
        <v>3242.424242424242</v>
      </c>
      <c r="J21">
        <f t="shared" si="6"/>
        <v>-606.06060606060601</v>
      </c>
      <c r="K21">
        <f t="shared" si="4"/>
        <v>-22.988505747126435</v>
      </c>
    </row>
    <row r="22" spans="1:12" x14ac:dyDescent="0.25">
      <c r="A22" s="2">
        <v>44462</v>
      </c>
      <c r="B22" s="3" t="s">
        <v>112</v>
      </c>
      <c r="C22">
        <v>115</v>
      </c>
      <c r="D22" s="8">
        <v>33</v>
      </c>
      <c r="E22">
        <f t="shared" si="7"/>
        <v>3484.848484848485</v>
      </c>
      <c r="G22">
        <v>76</v>
      </c>
      <c r="H22">
        <v>33</v>
      </c>
      <c r="I22">
        <f t="shared" si="5"/>
        <v>2303.030303030303</v>
      </c>
      <c r="J22">
        <f t="shared" si="6"/>
        <v>1181.818181818182</v>
      </c>
      <c r="K22">
        <f t="shared" si="4"/>
        <v>33.913043478260875</v>
      </c>
    </row>
    <row r="23" spans="1:12" x14ac:dyDescent="0.25">
      <c r="A23" s="2"/>
    </row>
    <row r="24" spans="1:12" x14ac:dyDescent="0.25">
      <c r="A24" s="2">
        <v>44462</v>
      </c>
      <c r="B24" s="8" t="s">
        <v>109</v>
      </c>
      <c r="C24">
        <v>57450</v>
      </c>
      <c r="D24" s="8">
        <v>33</v>
      </c>
      <c r="E24">
        <f t="shared" ref="E24" si="8">+C24/D24*1000</f>
        <v>1740909.0909090911</v>
      </c>
    </row>
    <row r="25" spans="1:12" x14ac:dyDescent="0.25">
      <c r="A25" s="2"/>
    </row>
    <row r="26" spans="1:12" x14ac:dyDescent="0.25">
      <c r="A26" s="2"/>
    </row>
    <row r="27" spans="1:12" x14ac:dyDescent="0.25">
      <c r="A27" s="2"/>
    </row>
    <row r="29" spans="1:12" x14ac:dyDescent="0.25">
      <c r="E29">
        <f>AVERAGE(E4:E12)</f>
        <v>6858.5858585858577</v>
      </c>
    </row>
    <row r="30" spans="1:12" x14ac:dyDescent="0.25">
      <c r="A30" s="6"/>
      <c r="E30">
        <f>AVERAGE(E15:E22)</f>
        <v>3234.848484848485</v>
      </c>
    </row>
    <row r="31" spans="1:12" x14ac:dyDescent="0.25">
      <c r="E31">
        <f>+(E30-E29)/E29</f>
        <v>-0.52835051546391743</v>
      </c>
    </row>
    <row r="34" spans="6:6" x14ac:dyDescent="0.25">
      <c r="F34" s="6"/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C34" sqref="C34"/>
    </sheetView>
  </sheetViews>
  <sheetFormatPr defaultRowHeight="15" x14ac:dyDescent="0.25"/>
  <cols>
    <col min="1" max="1" width="12" bestFit="1" customWidth="1"/>
    <col min="2" max="2" width="12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2" x14ac:dyDescent="0.25">
      <c r="C1" t="s">
        <v>4</v>
      </c>
      <c r="F1" s="4"/>
      <c r="G1" t="s">
        <v>4</v>
      </c>
      <c r="K1" s="2"/>
    </row>
    <row r="2" spans="1:12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2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2" x14ac:dyDescent="0.25">
      <c r="A4" s="2">
        <v>44462</v>
      </c>
      <c r="B4" s="3" t="s">
        <v>118</v>
      </c>
      <c r="C4">
        <v>77</v>
      </c>
      <c r="D4" s="8">
        <v>33</v>
      </c>
      <c r="E4">
        <f>+C4/D4*1000</f>
        <v>2333.3333333333335</v>
      </c>
      <c r="G4">
        <v>174</v>
      </c>
      <c r="H4">
        <v>33</v>
      </c>
      <c r="I4">
        <f>+G4/H4*1000</f>
        <v>5272.7272727272721</v>
      </c>
      <c r="J4">
        <f t="shared" ref="J4:J11" si="0">+E4-I4</f>
        <v>-2939.3939393939386</v>
      </c>
      <c r="K4">
        <f t="shared" ref="K4:K12" si="1">+J4/E4*100</f>
        <v>-125.97402597402593</v>
      </c>
    </row>
    <row r="5" spans="1:12" x14ac:dyDescent="0.25">
      <c r="A5" s="2">
        <v>44462</v>
      </c>
      <c r="B5" s="3" t="s">
        <v>119</v>
      </c>
      <c r="C5">
        <v>113</v>
      </c>
      <c r="D5" s="8">
        <v>33</v>
      </c>
      <c r="E5">
        <f t="shared" ref="E5:E11" si="2">+C5/D5*1000</f>
        <v>3424.2424242424245</v>
      </c>
      <c r="G5">
        <v>204</v>
      </c>
      <c r="H5">
        <v>33</v>
      </c>
      <c r="I5">
        <f t="shared" ref="I5:I12" si="3">+G5/H5*1000</f>
        <v>6181.818181818182</v>
      </c>
      <c r="J5">
        <f t="shared" si="0"/>
        <v>-2757.5757575757575</v>
      </c>
      <c r="K5">
        <f t="shared" si="1"/>
        <v>-80.530973451327426</v>
      </c>
    </row>
    <row r="6" spans="1:12" x14ac:dyDescent="0.25">
      <c r="A6" s="2">
        <v>44462</v>
      </c>
      <c r="B6" s="3" t="s">
        <v>116</v>
      </c>
      <c r="C6">
        <v>143</v>
      </c>
      <c r="D6" s="8">
        <v>33</v>
      </c>
      <c r="E6">
        <f t="shared" si="2"/>
        <v>4333.333333333333</v>
      </c>
      <c r="G6">
        <v>165</v>
      </c>
      <c r="H6">
        <v>33</v>
      </c>
      <c r="I6">
        <f t="shared" si="3"/>
        <v>5000</v>
      </c>
      <c r="J6">
        <f t="shared" si="0"/>
        <v>-666.66666666666697</v>
      </c>
      <c r="K6">
        <f t="shared" si="1"/>
        <v>-15.384615384615394</v>
      </c>
    </row>
    <row r="7" spans="1:12" x14ac:dyDescent="0.25">
      <c r="A7" s="2">
        <v>44462</v>
      </c>
      <c r="B7" s="3" t="s">
        <v>117</v>
      </c>
      <c r="C7">
        <v>59</v>
      </c>
      <c r="D7" s="8">
        <v>33</v>
      </c>
      <c r="E7">
        <f t="shared" si="2"/>
        <v>1787.8787878787878</v>
      </c>
      <c r="G7">
        <v>241</v>
      </c>
      <c r="H7">
        <v>33</v>
      </c>
      <c r="I7">
        <f t="shared" si="3"/>
        <v>7303.030303030303</v>
      </c>
      <c r="J7">
        <f t="shared" si="0"/>
        <v>-5515.151515151515</v>
      </c>
      <c r="K7">
        <f t="shared" si="1"/>
        <v>-308.47457627118644</v>
      </c>
      <c r="L7">
        <v>55</v>
      </c>
    </row>
    <row r="8" spans="1:12" x14ac:dyDescent="0.25">
      <c r="A8" s="2">
        <v>44462</v>
      </c>
      <c r="B8" s="3" t="s">
        <v>113</v>
      </c>
      <c r="C8">
        <v>64</v>
      </c>
      <c r="D8" s="8">
        <v>33</v>
      </c>
      <c r="E8">
        <f t="shared" si="2"/>
        <v>1939.3939393939395</v>
      </c>
      <c r="G8">
        <v>242</v>
      </c>
      <c r="H8">
        <v>33</v>
      </c>
      <c r="I8">
        <f t="shared" si="3"/>
        <v>7333.333333333333</v>
      </c>
      <c r="J8">
        <f t="shared" si="0"/>
        <v>-5393.939393939394</v>
      </c>
      <c r="K8">
        <f t="shared" si="1"/>
        <v>-278.125</v>
      </c>
    </row>
    <row r="9" spans="1:12" x14ac:dyDescent="0.25">
      <c r="A9" s="2">
        <v>44462</v>
      </c>
      <c r="B9" s="3" t="s">
        <v>115</v>
      </c>
      <c r="C9">
        <v>103</v>
      </c>
      <c r="D9" s="8">
        <v>33</v>
      </c>
      <c r="E9">
        <f t="shared" si="2"/>
        <v>3121.212121212121</v>
      </c>
      <c r="G9">
        <v>217</v>
      </c>
      <c r="H9">
        <v>33</v>
      </c>
      <c r="I9">
        <f t="shared" si="3"/>
        <v>6575.757575757576</v>
      </c>
      <c r="J9">
        <f t="shared" si="0"/>
        <v>-3454.545454545455</v>
      </c>
      <c r="K9">
        <f t="shared" si="1"/>
        <v>-110.67961165048546</v>
      </c>
    </row>
    <row r="10" spans="1:12" x14ac:dyDescent="0.25">
      <c r="A10" s="2">
        <v>44462</v>
      </c>
      <c r="B10" s="3" t="s">
        <v>114</v>
      </c>
      <c r="C10">
        <v>77</v>
      </c>
      <c r="D10" s="8">
        <v>33</v>
      </c>
      <c r="E10">
        <f t="shared" si="2"/>
        <v>2333.3333333333335</v>
      </c>
      <c r="G10">
        <v>162</v>
      </c>
      <c r="H10">
        <v>33</v>
      </c>
      <c r="I10">
        <f t="shared" si="3"/>
        <v>4909.090909090909</v>
      </c>
      <c r="J10">
        <f t="shared" si="0"/>
        <v>-2575.7575757575755</v>
      </c>
      <c r="K10">
        <f t="shared" si="1"/>
        <v>-110.38961038961037</v>
      </c>
    </row>
    <row r="11" spans="1:12" x14ac:dyDescent="0.25">
      <c r="A11" s="2">
        <v>44462</v>
      </c>
      <c r="B11" s="3" t="s">
        <v>112</v>
      </c>
      <c r="C11">
        <v>118</v>
      </c>
      <c r="D11" s="8">
        <v>33</v>
      </c>
      <c r="E11">
        <f t="shared" si="2"/>
        <v>3575.7575757575755</v>
      </c>
      <c r="G11">
        <v>185</v>
      </c>
      <c r="H11">
        <v>33</v>
      </c>
      <c r="I11">
        <f t="shared" si="3"/>
        <v>5606.060606060606</v>
      </c>
      <c r="J11">
        <f t="shared" si="0"/>
        <v>-2030.3030303030305</v>
      </c>
      <c r="K11">
        <f t="shared" si="1"/>
        <v>-56.779661016949156</v>
      </c>
    </row>
    <row r="12" spans="1:12" x14ac:dyDescent="0.25">
      <c r="A12" s="2">
        <v>44462</v>
      </c>
      <c r="B12" s="3" t="s">
        <v>120</v>
      </c>
      <c r="C12">
        <v>1086</v>
      </c>
      <c r="D12" s="8">
        <v>33</v>
      </c>
      <c r="E12">
        <f>+C12/D12*1000</f>
        <v>32909.090909090904</v>
      </c>
      <c r="G12">
        <v>223</v>
      </c>
      <c r="H12">
        <v>33</v>
      </c>
      <c r="I12">
        <f t="shared" si="3"/>
        <v>6757.575757575758</v>
      </c>
      <c r="J12">
        <f>+E12-I12</f>
        <v>26151.515151515145</v>
      </c>
      <c r="K12">
        <f t="shared" si="1"/>
        <v>79.465930018416202</v>
      </c>
    </row>
    <row r="13" spans="1:12" x14ac:dyDescent="0.25">
      <c r="A13" s="2"/>
    </row>
    <row r="14" spans="1:12" x14ac:dyDescent="0.25">
      <c r="A14" s="2"/>
    </row>
    <row r="15" spans="1:12" x14ac:dyDescent="0.25">
      <c r="A15" s="2">
        <v>44462</v>
      </c>
      <c r="B15" s="3" t="s">
        <v>118</v>
      </c>
      <c r="C15">
        <v>52</v>
      </c>
      <c r="D15" s="8">
        <v>33</v>
      </c>
      <c r="E15">
        <f>+C15/D15*1000</f>
        <v>1575.7575757575758</v>
      </c>
      <c r="G15">
        <v>67</v>
      </c>
      <c r="H15">
        <v>33</v>
      </c>
      <c r="I15">
        <f>+G15/H15*1000</f>
        <v>2030.3030303030303</v>
      </c>
      <c r="J15">
        <f>+E15-I15</f>
        <v>-454.5454545454545</v>
      </c>
      <c r="K15">
        <f t="shared" ref="K15:K22" si="4">+J15/E15*100</f>
        <v>-28.846153846153843</v>
      </c>
    </row>
    <row r="16" spans="1:12" x14ac:dyDescent="0.25">
      <c r="A16" s="2">
        <v>44462</v>
      </c>
      <c r="B16" s="3" t="s">
        <v>119</v>
      </c>
      <c r="C16">
        <v>57</v>
      </c>
      <c r="D16" s="8">
        <v>33</v>
      </c>
      <c r="E16">
        <f>+C16/D16*1000</f>
        <v>1727.2727272727273</v>
      </c>
      <c r="G16">
        <v>75</v>
      </c>
      <c r="H16">
        <v>33</v>
      </c>
      <c r="I16">
        <f>+G16/H16*1000</f>
        <v>2272.727272727273</v>
      </c>
      <c r="J16">
        <f>+E16-I16</f>
        <v>-545.45454545454572</v>
      </c>
      <c r="K16">
        <f t="shared" si="4"/>
        <v>-31.578947368421069</v>
      </c>
    </row>
    <row r="17" spans="1:12" x14ac:dyDescent="0.25">
      <c r="A17" s="2">
        <v>44462</v>
      </c>
      <c r="B17" s="3" t="s">
        <v>116</v>
      </c>
      <c r="C17">
        <v>73</v>
      </c>
      <c r="D17" s="8">
        <v>33</v>
      </c>
      <c r="E17">
        <f>+C17/D17*1000</f>
        <v>2212.121212121212</v>
      </c>
      <c r="G17">
        <v>67</v>
      </c>
      <c r="H17">
        <v>33</v>
      </c>
      <c r="I17">
        <f t="shared" ref="I17:I22" si="5">+G17/H17*1000</f>
        <v>2030.3030303030303</v>
      </c>
      <c r="J17">
        <f t="shared" ref="J17:J22" si="6">+E17-I17</f>
        <v>181.81818181818176</v>
      </c>
      <c r="K17">
        <f t="shared" si="4"/>
        <v>8.2191780821917781</v>
      </c>
    </row>
    <row r="18" spans="1:12" x14ac:dyDescent="0.25">
      <c r="A18" s="2">
        <v>44462</v>
      </c>
      <c r="B18" s="3" t="s">
        <v>117</v>
      </c>
      <c r="C18">
        <v>77</v>
      </c>
      <c r="D18" s="8">
        <v>33</v>
      </c>
      <c r="E18">
        <f>+C18/D18*1000</f>
        <v>2333.3333333333335</v>
      </c>
      <c r="G18">
        <v>135</v>
      </c>
      <c r="H18">
        <v>33</v>
      </c>
      <c r="I18">
        <f>+G18/H18*1000</f>
        <v>4090.909090909091</v>
      </c>
      <c r="J18">
        <f t="shared" si="6"/>
        <v>-1757.5757575757575</v>
      </c>
      <c r="K18">
        <f t="shared" si="4"/>
        <v>-75.324675324675312</v>
      </c>
      <c r="L18">
        <v>55</v>
      </c>
    </row>
    <row r="19" spans="1:12" x14ac:dyDescent="0.25">
      <c r="A19" s="2">
        <v>44462</v>
      </c>
      <c r="B19" s="3" t="s">
        <v>113</v>
      </c>
      <c r="C19">
        <v>57</v>
      </c>
      <c r="D19" s="8">
        <v>33</v>
      </c>
      <c r="E19">
        <f t="shared" ref="E19:E22" si="7">+C19/D19*1000</f>
        <v>1727.2727272727273</v>
      </c>
      <c r="G19">
        <v>70</v>
      </c>
      <c r="H19">
        <v>33</v>
      </c>
      <c r="I19">
        <f t="shared" si="5"/>
        <v>2121.212121212121</v>
      </c>
      <c r="J19">
        <f t="shared" si="6"/>
        <v>-393.93939393939377</v>
      </c>
      <c r="K19">
        <f t="shared" si="4"/>
        <v>-22.80701754385964</v>
      </c>
    </row>
    <row r="20" spans="1:12" x14ac:dyDescent="0.25">
      <c r="A20" s="2">
        <v>44462</v>
      </c>
      <c r="B20" s="3" t="s">
        <v>115</v>
      </c>
      <c r="C20">
        <v>54</v>
      </c>
      <c r="D20" s="8">
        <v>33</v>
      </c>
      <c r="E20">
        <f t="shared" si="7"/>
        <v>1636.3636363636365</v>
      </c>
      <c r="G20">
        <v>67</v>
      </c>
      <c r="H20">
        <v>33</v>
      </c>
      <c r="I20">
        <f t="shared" si="5"/>
        <v>2030.3030303030303</v>
      </c>
      <c r="J20">
        <f t="shared" si="6"/>
        <v>-393.93939393939377</v>
      </c>
      <c r="K20">
        <f t="shared" si="4"/>
        <v>-24.074074074074062</v>
      </c>
    </row>
    <row r="21" spans="1:12" x14ac:dyDescent="0.25">
      <c r="A21" s="2">
        <v>44462</v>
      </c>
      <c r="B21" s="3" t="s">
        <v>114</v>
      </c>
      <c r="C21">
        <v>46</v>
      </c>
      <c r="D21" s="8">
        <v>33</v>
      </c>
      <c r="E21">
        <f t="shared" si="7"/>
        <v>1393.939393939394</v>
      </c>
      <c r="G21">
        <v>82</v>
      </c>
      <c r="H21">
        <v>33</v>
      </c>
      <c r="I21">
        <f t="shared" si="5"/>
        <v>2484.848484848485</v>
      </c>
      <c r="J21">
        <f t="shared" si="6"/>
        <v>-1090.909090909091</v>
      </c>
      <c r="K21">
        <f t="shared" si="4"/>
        <v>-78.260869565217391</v>
      </c>
    </row>
    <row r="22" spans="1:12" x14ac:dyDescent="0.25">
      <c r="A22" s="2">
        <v>44462</v>
      </c>
      <c r="B22" s="3" t="s">
        <v>112</v>
      </c>
      <c r="C22">
        <v>54</v>
      </c>
      <c r="D22" s="8">
        <v>33</v>
      </c>
      <c r="E22">
        <f t="shared" si="7"/>
        <v>1636.3636363636365</v>
      </c>
      <c r="G22">
        <v>57</v>
      </c>
      <c r="H22">
        <v>33</v>
      </c>
      <c r="I22">
        <f t="shared" si="5"/>
        <v>1727.2727272727273</v>
      </c>
      <c r="J22">
        <f t="shared" si="6"/>
        <v>-90.909090909090764</v>
      </c>
      <c r="K22">
        <f t="shared" si="4"/>
        <v>-5.5555555555555465</v>
      </c>
    </row>
    <row r="23" spans="1:12" x14ac:dyDescent="0.25">
      <c r="A23" s="2"/>
    </row>
    <row r="24" spans="1:12" x14ac:dyDescent="0.25">
      <c r="A24" s="2">
        <v>44462</v>
      </c>
      <c r="B24" s="8" t="s">
        <v>109</v>
      </c>
      <c r="C24">
        <v>41521</v>
      </c>
      <c r="D24" s="8">
        <v>33</v>
      </c>
      <c r="E24">
        <f t="shared" ref="E24" si="8">+C24/D24*1000</f>
        <v>1258212.1212121213</v>
      </c>
    </row>
    <row r="25" spans="1:12" x14ac:dyDescent="0.25">
      <c r="A25" s="2"/>
    </row>
    <row r="26" spans="1:12" x14ac:dyDescent="0.25">
      <c r="A26" s="2" t="s">
        <v>126</v>
      </c>
    </row>
    <row r="27" spans="1:12" x14ac:dyDescent="0.25">
      <c r="A27" s="9" t="s">
        <v>127</v>
      </c>
    </row>
    <row r="28" spans="1:12" x14ac:dyDescent="0.25">
      <c r="A28" t="s">
        <v>125</v>
      </c>
    </row>
    <row r="29" spans="1:12" x14ac:dyDescent="0.25">
      <c r="E29">
        <f>AVERAGE(E4:E12)</f>
        <v>6195.2861952861949</v>
      </c>
    </row>
    <row r="30" spans="1:12" x14ac:dyDescent="0.25">
      <c r="A30" s="6"/>
      <c r="E30">
        <f>AVERAGE(E15:E22)</f>
        <v>1780.3030303030303</v>
      </c>
    </row>
    <row r="31" spans="1:12" x14ac:dyDescent="0.25">
      <c r="E31">
        <f>+(E30-E29)/E29</f>
        <v>-0.71263586956521741</v>
      </c>
    </row>
    <row r="34" spans="6:6" x14ac:dyDescent="0.25">
      <c r="F34" s="6"/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7" workbookViewId="0">
      <selection activeCell="E8" sqref="E8"/>
    </sheetView>
  </sheetViews>
  <sheetFormatPr defaultRowHeight="15" x14ac:dyDescent="0.25"/>
  <cols>
    <col min="1" max="1" width="12" bestFit="1" customWidth="1"/>
    <col min="2" max="2" width="18.42578125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2" x14ac:dyDescent="0.25">
      <c r="C1" t="s">
        <v>4</v>
      </c>
      <c r="F1" s="4"/>
      <c r="G1" t="s">
        <v>4</v>
      </c>
      <c r="K1" s="2"/>
    </row>
    <row r="2" spans="1:12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2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2" x14ac:dyDescent="0.25">
      <c r="A4" s="2">
        <v>44462</v>
      </c>
      <c r="B4" s="3" t="s">
        <v>118</v>
      </c>
      <c r="C4">
        <v>550</v>
      </c>
      <c r="D4" s="8">
        <v>33</v>
      </c>
      <c r="E4">
        <f>+C4/D4*1000</f>
        <v>16666.666666666668</v>
      </c>
      <c r="G4">
        <v>519</v>
      </c>
      <c r="H4">
        <v>33</v>
      </c>
      <c r="I4">
        <f>+G4/H4*1000</f>
        <v>15727.272727272726</v>
      </c>
      <c r="J4">
        <f t="shared" ref="J4:J11" si="0">+E4-I4</f>
        <v>939.39393939394176</v>
      </c>
      <c r="K4">
        <f t="shared" ref="K4:K12" si="1">+J4/E4*100</f>
        <v>5.6363636363636509</v>
      </c>
    </row>
    <row r="5" spans="1:12" x14ac:dyDescent="0.25">
      <c r="A5" s="2">
        <v>44462</v>
      </c>
      <c r="B5" s="3" t="s">
        <v>119</v>
      </c>
      <c r="C5">
        <v>615</v>
      </c>
      <c r="D5" s="8">
        <v>33</v>
      </c>
      <c r="E5">
        <f t="shared" ref="E5:E11" si="2">+C5/D5*1000</f>
        <v>18636.363636363636</v>
      </c>
      <c r="G5">
        <v>592</v>
      </c>
      <c r="H5">
        <v>33</v>
      </c>
      <c r="I5">
        <f t="shared" ref="I5:I12" si="3">+G5/H5*1000</f>
        <v>17939.393939393936</v>
      </c>
      <c r="J5">
        <f t="shared" si="0"/>
        <v>696.96969696969973</v>
      </c>
      <c r="K5">
        <f t="shared" si="1"/>
        <v>3.7398373983739983</v>
      </c>
    </row>
    <row r="6" spans="1:12" x14ac:dyDescent="0.25">
      <c r="A6" s="2">
        <v>44462</v>
      </c>
      <c r="B6" s="3" t="s">
        <v>116</v>
      </c>
      <c r="C6">
        <v>669</v>
      </c>
      <c r="D6" s="8">
        <v>33</v>
      </c>
      <c r="E6">
        <f t="shared" si="2"/>
        <v>20272.727272727272</v>
      </c>
      <c r="G6">
        <v>560</v>
      </c>
      <c r="H6">
        <v>33</v>
      </c>
      <c r="I6">
        <f t="shared" si="3"/>
        <v>16969.696969696968</v>
      </c>
      <c r="J6">
        <f t="shared" si="0"/>
        <v>3303.0303030303039</v>
      </c>
      <c r="K6">
        <f t="shared" si="1"/>
        <v>16.292974588938719</v>
      </c>
    </row>
    <row r="7" spans="1:12" x14ac:dyDescent="0.25">
      <c r="A7" s="2">
        <v>44462</v>
      </c>
      <c r="B7" s="3" t="s">
        <v>117</v>
      </c>
      <c r="C7">
        <v>627</v>
      </c>
      <c r="D7" s="8">
        <v>33</v>
      </c>
      <c r="E7">
        <f t="shared" si="2"/>
        <v>19000</v>
      </c>
      <c r="G7">
        <v>561</v>
      </c>
      <c r="H7">
        <v>33</v>
      </c>
      <c r="I7">
        <f t="shared" si="3"/>
        <v>17000</v>
      </c>
      <c r="J7">
        <f t="shared" si="0"/>
        <v>2000</v>
      </c>
      <c r="K7">
        <f t="shared" si="1"/>
        <v>10.526315789473683</v>
      </c>
      <c r="L7">
        <v>55</v>
      </c>
    </row>
    <row r="8" spans="1:12" x14ac:dyDescent="0.25">
      <c r="A8" s="2">
        <v>44462</v>
      </c>
      <c r="B8" s="3" t="s">
        <v>113</v>
      </c>
      <c r="C8">
        <v>671</v>
      </c>
      <c r="D8" s="8">
        <v>33</v>
      </c>
      <c r="E8">
        <f t="shared" si="2"/>
        <v>20333.333333333332</v>
      </c>
      <c r="G8">
        <v>649</v>
      </c>
      <c r="H8">
        <v>33</v>
      </c>
      <c r="I8">
        <f t="shared" si="3"/>
        <v>19666.666666666668</v>
      </c>
      <c r="J8">
        <f t="shared" si="0"/>
        <v>666.66666666666424</v>
      </c>
      <c r="K8">
        <f t="shared" si="1"/>
        <v>3.2786885245901525</v>
      </c>
    </row>
    <row r="9" spans="1:12" x14ac:dyDescent="0.25">
      <c r="A9" s="2">
        <v>44462</v>
      </c>
      <c r="B9" s="3" t="s">
        <v>115</v>
      </c>
      <c r="C9">
        <v>625</v>
      </c>
      <c r="D9" s="8">
        <v>33</v>
      </c>
      <c r="E9">
        <f t="shared" si="2"/>
        <v>18939.393939393936</v>
      </c>
      <c r="G9">
        <v>593</v>
      </c>
      <c r="H9">
        <v>33</v>
      </c>
      <c r="I9">
        <f t="shared" si="3"/>
        <v>17969.696969696968</v>
      </c>
      <c r="J9">
        <f t="shared" si="0"/>
        <v>969.69696969696815</v>
      </c>
      <c r="K9">
        <f t="shared" si="1"/>
        <v>5.119999999999993</v>
      </c>
    </row>
    <row r="10" spans="1:12" x14ac:dyDescent="0.25">
      <c r="A10" s="2">
        <v>44462</v>
      </c>
      <c r="B10" s="3" t="s">
        <v>114</v>
      </c>
      <c r="C10">
        <v>658</v>
      </c>
      <c r="D10" s="8">
        <v>33</v>
      </c>
      <c r="E10">
        <f t="shared" si="2"/>
        <v>19939.393939393936</v>
      </c>
      <c r="G10">
        <v>588</v>
      </c>
      <c r="H10">
        <v>33</v>
      </c>
      <c r="I10">
        <f t="shared" si="3"/>
        <v>17818.181818181816</v>
      </c>
      <c r="J10">
        <f t="shared" si="0"/>
        <v>2121.2121212121201</v>
      </c>
      <c r="K10">
        <f t="shared" si="1"/>
        <v>10.638297872340422</v>
      </c>
    </row>
    <row r="11" spans="1:12" x14ac:dyDescent="0.25">
      <c r="A11" s="2">
        <v>44462</v>
      </c>
      <c r="B11" s="3" t="s">
        <v>112</v>
      </c>
      <c r="C11">
        <v>601</v>
      </c>
      <c r="D11" s="8">
        <v>33</v>
      </c>
      <c r="E11">
        <f t="shared" si="2"/>
        <v>18212.121212121212</v>
      </c>
      <c r="G11">
        <v>623</v>
      </c>
      <c r="H11">
        <v>33</v>
      </c>
      <c r="I11">
        <f t="shared" si="3"/>
        <v>18878.78787878788</v>
      </c>
      <c r="J11">
        <f t="shared" si="0"/>
        <v>-666.66666666666788</v>
      </c>
      <c r="K11">
        <f t="shared" si="1"/>
        <v>-3.6605657237936837</v>
      </c>
    </row>
    <row r="12" spans="1:12" x14ac:dyDescent="0.25">
      <c r="A12" s="2">
        <v>44462</v>
      </c>
      <c r="B12" s="3" t="s">
        <v>120</v>
      </c>
      <c r="C12">
        <v>617</v>
      </c>
      <c r="D12" s="8">
        <v>33</v>
      </c>
      <c r="E12">
        <f>+C12/D12*1000</f>
        <v>18696.969696969696</v>
      </c>
      <c r="G12">
        <v>609</v>
      </c>
      <c r="H12">
        <v>33</v>
      </c>
      <c r="I12">
        <f t="shared" si="3"/>
        <v>18454.545454545452</v>
      </c>
      <c r="J12">
        <f>+E12-I12</f>
        <v>242.42424242424386</v>
      </c>
      <c r="K12">
        <f t="shared" si="1"/>
        <v>1.2965964343598133</v>
      </c>
    </row>
    <row r="13" spans="1:12" x14ac:dyDescent="0.25">
      <c r="A13" s="2"/>
    </row>
    <row r="14" spans="1:12" x14ac:dyDescent="0.25">
      <c r="A14" s="2"/>
    </row>
    <row r="15" spans="1:12" x14ac:dyDescent="0.25">
      <c r="A15" s="2">
        <v>44462</v>
      </c>
      <c r="B15" s="3" t="s">
        <v>118</v>
      </c>
      <c r="C15">
        <v>484</v>
      </c>
      <c r="D15" s="8">
        <v>33</v>
      </c>
      <c r="E15">
        <f>+C15/D15*1000</f>
        <v>14666.666666666666</v>
      </c>
      <c r="G15">
        <v>529</v>
      </c>
      <c r="H15">
        <v>33</v>
      </c>
      <c r="I15">
        <f>+G15/H15*1000</f>
        <v>16030.303030303032</v>
      </c>
      <c r="J15">
        <f>+E15-I15</f>
        <v>-1363.6363636363658</v>
      </c>
      <c r="K15">
        <f t="shared" ref="K15:K22" si="4">+J15/E15*100</f>
        <v>-9.2975206611570389</v>
      </c>
    </row>
    <row r="16" spans="1:12" x14ac:dyDescent="0.25">
      <c r="A16" s="2">
        <v>44462</v>
      </c>
      <c r="B16" s="3" t="s">
        <v>119</v>
      </c>
      <c r="C16">
        <v>514</v>
      </c>
      <c r="D16" s="8">
        <v>33</v>
      </c>
      <c r="E16">
        <f>+C16/D16*1000</f>
        <v>15575.757575757576</v>
      </c>
      <c r="G16">
        <v>531</v>
      </c>
      <c r="H16">
        <v>33</v>
      </c>
      <c r="I16">
        <f>+G16/H16*1000</f>
        <v>16090.90909090909</v>
      </c>
      <c r="J16">
        <f>+E16-I16</f>
        <v>-515.1515151515141</v>
      </c>
      <c r="K16">
        <f t="shared" si="4"/>
        <v>-3.3073929961089426</v>
      </c>
    </row>
    <row r="17" spans="1:12" x14ac:dyDescent="0.25">
      <c r="A17" s="2">
        <v>44462</v>
      </c>
      <c r="B17" s="3" t="s">
        <v>116</v>
      </c>
      <c r="C17">
        <v>501</v>
      </c>
      <c r="D17" s="8">
        <v>33</v>
      </c>
      <c r="E17">
        <f>+C17/D17*1000</f>
        <v>15181.818181818182</v>
      </c>
      <c r="G17">
        <v>517</v>
      </c>
      <c r="H17">
        <v>33</v>
      </c>
      <c r="I17">
        <f t="shared" ref="I17:I22" si="5">+G17/H17*1000</f>
        <v>15666.666666666666</v>
      </c>
      <c r="J17">
        <f t="shared" ref="J17:J22" si="6">+E17-I17</f>
        <v>-484.84848484848408</v>
      </c>
      <c r="K17">
        <f t="shared" si="4"/>
        <v>-3.1936127744510925</v>
      </c>
    </row>
    <row r="18" spans="1:12" x14ac:dyDescent="0.25">
      <c r="A18" s="2">
        <v>44462</v>
      </c>
      <c r="B18" s="3" t="s">
        <v>117</v>
      </c>
      <c r="C18">
        <v>510</v>
      </c>
      <c r="D18" s="8">
        <v>33</v>
      </c>
      <c r="E18">
        <f>+C18/D18*1000</f>
        <v>15454.545454545456</v>
      </c>
      <c r="G18">
        <v>552</v>
      </c>
      <c r="H18">
        <v>33</v>
      </c>
      <c r="I18">
        <f>+G18/H18*1000</f>
        <v>16727.272727272728</v>
      </c>
      <c r="J18">
        <f t="shared" si="6"/>
        <v>-1272.7272727272721</v>
      </c>
      <c r="K18">
        <f t="shared" si="4"/>
        <v>-8.2352941176470527</v>
      </c>
      <c r="L18">
        <v>55</v>
      </c>
    </row>
    <row r="19" spans="1:12" x14ac:dyDescent="0.25">
      <c r="A19" s="2">
        <v>44462</v>
      </c>
      <c r="B19" s="3" t="s">
        <v>113</v>
      </c>
      <c r="C19">
        <v>613</v>
      </c>
      <c r="D19" s="8">
        <v>33</v>
      </c>
      <c r="E19">
        <f t="shared" ref="E19:E22" si="7">+C19/D19*1000</f>
        <v>18575.757575757576</v>
      </c>
      <c r="G19">
        <v>672</v>
      </c>
      <c r="H19">
        <v>33</v>
      </c>
      <c r="I19">
        <f t="shared" si="5"/>
        <v>20363.636363636364</v>
      </c>
      <c r="J19">
        <f t="shared" si="6"/>
        <v>-1787.878787878788</v>
      </c>
      <c r="K19">
        <f t="shared" si="4"/>
        <v>-9.6247960848287111</v>
      </c>
    </row>
    <row r="20" spans="1:12" x14ac:dyDescent="0.25">
      <c r="A20" s="2">
        <v>44462</v>
      </c>
      <c r="B20" s="3" t="s">
        <v>115</v>
      </c>
      <c r="C20">
        <v>605</v>
      </c>
      <c r="D20" s="8">
        <v>33</v>
      </c>
      <c r="E20">
        <f t="shared" si="7"/>
        <v>18333.333333333332</v>
      </c>
      <c r="G20">
        <v>633</v>
      </c>
      <c r="H20">
        <v>33</v>
      </c>
      <c r="I20">
        <f t="shared" si="5"/>
        <v>19181.818181818184</v>
      </c>
      <c r="J20">
        <f t="shared" si="6"/>
        <v>-848.48484848485168</v>
      </c>
      <c r="K20">
        <f t="shared" si="4"/>
        <v>-4.6280991735537365</v>
      </c>
    </row>
    <row r="21" spans="1:12" x14ac:dyDescent="0.25">
      <c r="A21" s="2">
        <v>44462</v>
      </c>
      <c r="B21" s="3" t="s">
        <v>114</v>
      </c>
      <c r="C21">
        <v>680</v>
      </c>
      <c r="D21" s="8">
        <v>33</v>
      </c>
      <c r="E21">
        <f t="shared" si="7"/>
        <v>20606.060606060604</v>
      </c>
      <c r="G21">
        <v>615</v>
      </c>
      <c r="H21">
        <v>33</v>
      </c>
      <c r="I21">
        <f t="shared" si="5"/>
        <v>18636.363636363636</v>
      </c>
      <c r="J21">
        <f t="shared" si="6"/>
        <v>1969.6969696969682</v>
      </c>
      <c r="K21">
        <f t="shared" si="4"/>
        <v>9.5588235294117592</v>
      </c>
    </row>
    <row r="22" spans="1:12" x14ac:dyDescent="0.25">
      <c r="A22" s="2">
        <v>44462</v>
      </c>
      <c r="B22" s="3" t="s">
        <v>112</v>
      </c>
      <c r="C22">
        <v>663</v>
      </c>
      <c r="D22" s="8">
        <v>33</v>
      </c>
      <c r="E22">
        <f t="shared" si="7"/>
        <v>20090.909090909088</v>
      </c>
      <c r="G22">
        <v>633</v>
      </c>
      <c r="H22">
        <v>33</v>
      </c>
      <c r="I22">
        <f t="shared" si="5"/>
        <v>19181.818181818184</v>
      </c>
      <c r="J22">
        <f t="shared" si="6"/>
        <v>909.09090909090446</v>
      </c>
      <c r="K22">
        <f t="shared" si="4"/>
        <v>4.524886877828032</v>
      </c>
    </row>
    <row r="23" spans="1:12" x14ac:dyDescent="0.25">
      <c r="A23" s="2"/>
    </row>
    <row r="24" spans="1:12" x14ac:dyDescent="0.25">
      <c r="A24" s="2">
        <v>44462</v>
      </c>
      <c r="B24" s="8" t="s">
        <v>109</v>
      </c>
      <c r="C24">
        <v>36856</v>
      </c>
      <c r="D24" s="8">
        <v>33</v>
      </c>
      <c r="E24">
        <f>+C24/D24*1000</f>
        <v>1116848.4848484849</v>
      </c>
    </row>
    <row r="25" spans="1:12" x14ac:dyDescent="0.25">
      <c r="A25" s="2"/>
    </row>
    <row r="26" spans="1:12" x14ac:dyDescent="0.25">
      <c r="A26" s="2"/>
    </row>
    <row r="27" spans="1:12" x14ac:dyDescent="0.25">
      <c r="A27" s="9"/>
    </row>
    <row r="29" spans="1:12" x14ac:dyDescent="0.25">
      <c r="E29">
        <f>AVERAGE(E4:E12)</f>
        <v>18966.329966329966</v>
      </c>
    </row>
    <row r="30" spans="1:12" x14ac:dyDescent="0.25">
      <c r="A30" s="6"/>
      <c r="E30">
        <f>AVERAGE(E15:E22)</f>
        <v>17310.60606060606</v>
      </c>
    </row>
    <row r="31" spans="1:12" x14ac:dyDescent="0.25">
      <c r="E31">
        <f>+(E30-E29)/E29</f>
        <v>-8.7298064974258835E-2</v>
      </c>
    </row>
    <row r="33" spans="1:8" x14ac:dyDescent="0.25">
      <c r="A33" t="s">
        <v>128</v>
      </c>
    </row>
    <row r="34" spans="1:8" x14ac:dyDescent="0.25">
      <c r="C34" t="s">
        <v>0</v>
      </c>
      <c r="D34" s="8" t="s">
        <v>1</v>
      </c>
      <c r="E34" t="s">
        <v>3</v>
      </c>
      <c r="F34" s="6"/>
      <c r="H34" t="s">
        <v>132</v>
      </c>
    </row>
    <row r="35" spans="1:8" x14ac:dyDescent="0.25">
      <c r="A35" t="s">
        <v>129</v>
      </c>
      <c r="B35" s="3" t="s">
        <v>130</v>
      </c>
      <c r="C35">
        <v>908</v>
      </c>
      <c r="D35" s="8">
        <v>33</v>
      </c>
      <c r="E35">
        <f>+C35/D35*1000</f>
        <v>27515.151515151516</v>
      </c>
      <c r="H35">
        <f>(E36-E35)/E36*100</f>
        <v>3.9153439153439114</v>
      </c>
    </row>
    <row r="36" spans="1:8" x14ac:dyDescent="0.25">
      <c r="A36" t="s">
        <v>129</v>
      </c>
      <c r="B36" s="3" t="s">
        <v>131</v>
      </c>
      <c r="C36">
        <v>945</v>
      </c>
      <c r="D36" s="8">
        <v>33</v>
      </c>
      <c r="E36">
        <f>+C36/D36*1000</f>
        <v>28636.363636363636</v>
      </c>
    </row>
    <row r="38" spans="1:8" x14ac:dyDescent="0.25">
      <c r="A38" t="s">
        <v>133</v>
      </c>
    </row>
    <row r="40" spans="1:8" x14ac:dyDescent="0.25">
      <c r="C40">
        <v>34507</v>
      </c>
      <c r="D40" s="8">
        <v>33</v>
      </c>
      <c r="E40">
        <f>+C40/D40*1000</f>
        <v>1045666.6666666667</v>
      </c>
    </row>
    <row r="44" spans="1:8" x14ac:dyDescent="0.25">
      <c r="D44" s="8">
        <f>40000*20</f>
        <v>800000</v>
      </c>
    </row>
    <row r="45" spans="1:8" x14ac:dyDescent="0.25">
      <c r="D45" s="8">
        <f>+D44/E40</f>
        <v>0.76506216130060567</v>
      </c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G6" sqref="G6"/>
    </sheetView>
  </sheetViews>
  <sheetFormatPr defaultRowHeight="15" x14ac:dyDescent="0.25"/>
  <cols>
    <col min="1" max="1" width="12" bestFit="1" customWidth="1"/>
    <col min="2" max="2" width="18.42578125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2" x14ac:dyDescent="0.25">
      <c r="C1" t="s">
        <v>4</v>
      </c>
      <c r="F1" s="4"/>
      <c r="G1" t="s">
        <v>4</v>
      </c>
      <c r="K1" s="2"/>
    </row>
    <row r="2" spans="1:12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2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2" x14ac:dyDescent="0.25">
      <c r="A4" s="2">
        <v>44469</v>
      </c>
      <c r="B4" s="3" t="s">
        <v>118</v>
      </c>
      <c r="C4">
        <v>219</v>
      </c>
      <c r="D4" s="8">
        <v>33</v>
      </c>
      <c r="E4">
        <f>+C4/D4*1000</f>
        <v>6636.3636363636369</v>
      </c>
      <c r="G4">
        <v>187</v>
      </c>
      <c r="H4">
        <v>33</v>
      </c>
      <c r="I4">
        <f>+G4/H4*1000</f>
        <v>5666.666666666667</v>
      </c>
      <c r="J4">
        <f t="shared" ref="J4:J11" si="0">+E4-I4</f>
        <v>969.69696969696997</v>
      </c>
      <c r="K4">
        <f t="shared" ref="K4:K12" si="1">+J4/E4*100</f>
        <v>14.611872146118724</v>
      </c>
    </row>
    <row r="5" spans="1:12" x14ac:dyDescent="0.25">
      <c r="A5" s="2">
        <v>44469</v>
      </c>
      <c r="B5" s="3" t="s">
        <v>119</v>
      </c>
      <c r="C5">
        <v>213</v>
      </c>
      <c r="D5" s="8">
        <v>33</v>
      </c>
      <c r="E5">
        <f t="shared" ref="E5:E11" si="2">+C5/D5*1000</f>
        <v>6454.545454545454</v>
      </c>
      <c r="G5">
        <v>188</v>
      </c>
      <c r="H5">
        <v>33</v>
      </c>
      <c r="I5">
        <f t="shared" ref="I5:I12" si="3">+G5/H5*1000</f>
        <v>5696.969696969697</v>
      </c>
      <c r="J5">
        <f t="shared" si="0"/>
        <v>757.57575757575705</v>
      </c>
      <c r="K5">
        <f t="shared" si="1"/>
        <v>11.737089201877927</v>
      </c>
    </row>
    <row r="6" spans="1:12" x14ac:dyDescent="0.25">
      <c r="A6" s="2">
        <v>44469</v>
      </c>
      <c r="B6" s="3" t="s">
        <v>116</v>
      </c>
      <c r="C6">
        <v>259</v>
      </c>
      <c r="D6" s="8">
        <v>33</v>
      </c>
      <c r="E6">
        <f t="shared" si="2"/>
        <v>7848.484848484849</v>
      </c>
      <c r="G6">
        <v>202</v>
      </c>
      <c r="H6">
        <v>33</v>
      </c>
      <c r="I6">
        <f t="shared" si="3"/>
        <v>6121.212121212121</v>
      </c>
      <c r="J6">
        <f t="shared" si="0"/>
        <v>1727.2727272727279</v>
      </c>
      <c r="K6">
        <f t="shared" si="1"/>
        <v>22.007722007722013</v>
      </c>
    </row>
    <row r="7" spans="1:12" x14ac:dyDescent="0.25">
      <c r="A7" s="2">
        <v>44469</v>
      </c>
      <c r="B7" s="3" t="s">
        <v>117</v>
      </c>
      <c r="C7">
        <v>258</v>
      </c>
      <c r="D7" s="8">
        <v>33</v>
      </c>
      <c r="E7">
        <f t="shared" si="2"/>
        <v>7818.181818181818</v>
      </c>
      <c r="G7">
        <v>191</v>
      </c>
      <c r="H7">
        <v>33</v>
      </c>
      <c r="I7">
        <f t="shared" si="3"/>
        <v>5787.878787878788</v>
      </c>
      <c r="J7">
        <f t="shared" si="0"/>
        <v>2030.30303030303</v>
      </c>
      <c r="K7">
        <f t="shared" si="1"/>
        <v>25.968992248062012</v>
      </c>
      <c r="L7">
        <v>55</v>
      </c>
    </row>
    <row r="8" spans="1:12" x14ac:dyDescent="0.25">
      <c r="A8" s="2">
        <v>44469</v>
      </c>
      <c r="B8" s="3" t="s">
        <v>113</v>
      </c>
      <c r="C8">
        <v>245</v>
      </c>
      <c r="D8" s="8">
        <v>33</v>
      </c>
      <c r="E8">
        <f t="shared" si="2"/>
        <v>7424.242424242424</v>
      </c>
      <c r="G8">
        <v>229</v>
      </c>
      <c r="H8">
        <v>33</v>
      </c>
      <c r="I8">
        <f t="shared" si="3"/>
        <v>6939.393939393939</v>
      </c>
      <c r="J8">
        <f t="shared" si="0"/>
        <v>484.84848484848499</v>
      </c>
      <c r="K8">
        <f t="shared" si="1"/>
        <v>6.5306122448979611</v>
      </c>
    </row>
    <row r="9" spans="1:12" x14ac:dyDescent="0.25">
      <c r="A9" s="2">
        <v>44469</v>
      </c>
      <c r="B9" s="3" t="s">
        <v>115</v>
      </c>
      <c r="C9">
        <v>249</v>
      </c>
      <c r="D9" s="8">
        <v>33</v>
      </c>
      <c r="E9">
        <f t="shared" si="2"/>
        <v>7545.454545454546</v>
      </c>
      <c r="G9">
        <v>198</v>
      </c>
      <c r="H9">
        <v>33</v>
      </c>
      <c r="I9">
        <f t="shared" si="3"/>
        <v>6000</v>
      </c>
      <c r="J9">
        <f t="shared" si="0"/>
        <v>1545.454545454546</v>
      </c>
      <c r="K9">
        <f t="shared" si="1"/>
        <v>20.481927710843379</v>
      </c>
    </row>
    <row r="10" spans="1:12" x14ac:dyDescent="0.25">
      <c r="A10" s="2">
        <v>44469</v>
      </c>
      <c r="B10" s="3" t="s">
        <v>114</v>
      </c>
      <c r="C10">
        <v>366</v>
      </c>
      <c r="D10" s="8">
        <v>33</v>
      </c>
      <c r="E10">
        <f t="shared" si="2"/>
        <v>11090.909090909092</v>
      </c>
      <c r="G10">
        <v>201</v>
      </c>
      <c r="H10">
        <v>33</v>
      </c>
      <c r="I10">
        <f t="shared" si="3"/>
        <v>6090.909090909091</v>
      </c>
      <c r="J10">
        <f t="shared" si="0"/>
        <v>5000.0000000000009</v>
      </c>
      <c r="K10">
        <f t="shared" si="1"/>
        <v>45.081967213114758</v>
      </c>
    </row>
    <row r="11" spans="1:12" x14ac:dyDescent="0.25">
      <c r="A11" s="2">
        <v>44469</v>
      </c>
      <c r="B11" s="3" t="s">
        <v>112</v>
      </c>
      <c r="C11">
        <v>205</v>
      </c>
      <c r="D11" s="8">
        <v>33</v>
      </c>
      <c r="E11">
        <f t="shared" si="2"/>
        <v>6212.121212121212</v>
      </c>
      <c r="G11">
        <v>187</v>
      </c>
      <c r="H11">
        <v>33</v>
      </c>
      <c r="I11">
        <f t="shared" si="3"/>
        <v>5666.666666666667</v>
      </c>
      <c r="J11">
        <f t="shared" si="0"/>
        <v>545.45454545454504</v>
      </c>
      <c r="K11">
        <f t="shared" si="1"/>
        <v>8.7804878048780424</v>
      </c>
    </row>
    <row r="12" spans="1:12" x14ac:dyDescent="0.25">
      <c r="A12" s="2">
        <v>44469</v>
      </c>
      <c r="B12" s="3" t="s">
        <v>120</v>
      </c>
      <c r="C12">
        <v>377</v>
      </c>
      <c r="D12" s="8">
        <v>33</v>
      </c>
      <c r="E12">
        <f>+C12/D12*1000</f>
        <v>11424.242424242424</v>
      </c>
      <c r="G12">
        <v>217</v>
      </c>
      <c r="H12">
        <v>33</v>
      </c>
      <c r="I12">
        <f t="shared" si="3"/>
        <v>6575.757575757576</v>
      </c>
      <c r="J12">
        <f>+E12-I12</f>
        <v>4848.484848484848</v>
      </c>
      <c r="K12">
        <f t="shared" si="1"/>
        <v>42.440318302387261</v>
      </c>
    </row>
    <row r="13" spans="1:12" x14ac:dyDescent="0.25">
      <c r="A13" s="2"/>
    </row>
    <row r="14" spans="1:12" x14ac:dyDescent="0.25">
      <c r="A14" s="2"/>
    </row>
    <row r="15" spans="1:12" x14ac:dyDescent="0.25">
      <c r="A15" s="2">
        <v>44469</v>
      </c>
      <c r="B15" s="3" t="s">
        <v>118</v>
      </c>
      <c r="C15">
        <v>173</v>
      </c>
      <c r="D15" s="8">
        <v>33</v>
      </c>
      <c r="E15">
        <f t="shared" ref="E15" si="4">+C15/D15*1000</f>
        <v>5242.424242424242</v>
      </c>
      <c r="G15">
        <v>128</v>
      </c>
      <c r="H15">
        <v>33</v>
      </c>
      <c r="I15">
        <f>+G15/H15*1000</f>
        <v>3878.787878787879</v>
      </c>
      <c r="J15">
        <f>+E15-I15</f>
        <v>1363.6363636363631</v>
      </c>
      <c r="K15">
        <f t="shared" ref="K15:K22" si="5">+J15/E15*100</f>
        <v>26.011560693641613</v>
      </c>
    </row>
    <row r="16" spans="1:12" x14ac:dyDescent="0.25">
      <c r="A16" s="2">
        <v>44469</v>
      </c>
      <c r="B16" s="3" t="s">
        <v>119</v>
      </c>
      <c r="C16">
        <v>271</v>
      </c>
      <c r="D16" s="8">
        <v>33</v>
      </c>
      <c r="E16">
        <f>+C16/D16*1000</f>
        <v>8212.121212121212</v>
      </c>
      <c r="G16">
        <v>166</v>
      </c>
      <c r="H16">
        <v>33</v>
      </c>
      <c r="I16">
        <f>+G16/H16*1000</f>
        <v>5030.30303030303</v>
      </c>
      <c r="J16">
        <f>+E16-I16</f>
        <v>3181.818181818182</v>
      </c>
      <c r="K16">
        <f t="shared" si="5"/>
        <v>38.745387453874542</v>
      </c>
    </row>
    <row r="17" spans="1:12" x14ac:dyDescent="0.25">
      <c r="A17" s="2">
        <v>44469</v>
      </c>
      <c r="B17" s="3" t="s">
        <v>116</v>
      </c>
      <c r="C17">
        <v>143</v>
      </c>
      <c r="D17" s="8">
        <v>33</v>
      </c>
      <c r="E17">
        <f>+C17/D17*1000</f>
        <v>4333.333333333333</v>
      </c>
      <c r="G17">
        <v>138</v>
      </c>
      <c r="H17">
        <v>33</v>
      </c>
      <c r="I17">
        <f t="shared" ref="I17:I22" si="6">+G17/H17*1000</f>
        <v>4181.818181818182</v>
      </c>
      <c r="J17">
        <f t="shared" ref="J17:J22" si="7">+E17-I17</f>
        <v>151.51515151515105</v>
      </c>
      <c r="K17">
        <f t="shared" si="5"/>
        <v>3.4965034965034856</v>
      </c>
    </row>
    <row r="18" spans="1:12" x14ac:dyDescent="0.25">
      <c r="A18" s="2">
        <v>44469</v>
      </c>
      <c r="B18" s="3" t="s">
        <v>117</v>
      </c>
      <c r="C18">
        <v>159</v>
      </c>
      <c r="D18" s="8">
        <v>33</v>
      </c>
      <c r="E18">
        <f>+C18/D18*1000</f>
        <v>4818.181818181818</v>
      </c>
      <c r="G18">
        <v>139</v>
      </c>
      <c r="H18">
        <v>33</v>
      </c>
      <c r="I18">
        <f>+G18/H18*1000</f>
        <v>4212.121212121212</v>
      </c>
      <c r="J18">
        <f t="shared" si="7"/>
        <v>606.06060606060601</v>
      </c>
      <c r="K18">
        <f t="shared" si="5"/>
        <v>12.578616352201259</v>
      </c>
      <c r="L18">
        <v>55</v>
      </c>
    </row>
    <row r="19" spans="1:12" x14ac:dyDescent="0.25">
      <c r="A19" s="2">
        <v>44469</v>
      </c>
      <c r="B19" s="3" t="s">
        <v>113</v>
      </c>
      <c r="C19">
        <v>246</v>
      </c>
      <c r="D19" s="8">
        <v>33</v>
      </c>
      <c r="E19">
        <f t="shared" ref="E19:E22" si="8">+C19/D19*1000</f>
        <v>7454.545454545454</v>
      </c>
      <c r="G19">
        <v>192</v>
      </c>
      <c r="H19">
        <v>33</v>
      </c>
      <c r="I19">
        <f t="shared" si="6"/>
        <v>5818.181818181818</v>
      </c>
      <c r="J19">
        <f t="shared" si="7"/>
        <v>1636.363636363636</v>
      </c>
      <c r="K19">
        <f t="shared" si="5"/>
        <v>21.95121951219512</v>
      </c>
    </row>
    <row r="20" spans="1:12" x14ac:dyDescent="0.25">
      <c r="A20" s="2">
        <v>44469</v>
      </c>
      <c r="B20" s="3" t="s">
        <v>115</v>
      </c>
      <c r="C20">
        <v>247</v>
      </c>
      <c r="D20" s="8">
        <v>33</v>
      </c>
      <c r="E20">
        <f t="shared" si="8"/>
        <v>7484.8484848484841</v>
      </c>
      <c r="G20">
        <v>195</v>
      </c>
      <c r="H20">
        <v>33</v>
      </c>
      <c r="I20">
        <f t="shared" si="6"/>
        <v>5909.090909090909</v>
      </c>
      <c r="J20">
        <f t="shared" si="7"/>
        <v>1575.7575757575751</v>
      </c>
      <c r="K20">
        <f t="shared" si="5"/>
        <v>21.052631578947363</v>
      </c>
    </row>
    <row r="21" spans="1:12" x14ac:dyDescent="0.25">
      <c r="A21" s="2">
        <v>44469</v>
      </c>
      <c r="B21" s="3" t="s">
        <v>114</v>
      </c>
      <c r="C21">
        <v>206</v>
      </c>
      <c r="D21" s="8">
        <v>33</v>
      </c>
      <c r="E21">
        <f t="shared" si="8"/>
        <v>6242.424242424242</v>
      </c>
      <c r="G21">
        <v>207</v>
      </c>
      <c r="H21">
        <v>33</v>
      </c>
      <c r="I21">
        <f t="shared" si="6"/>
        <v>6272.7272727272721</v>
      </c>
      <c r="J21">
        <f t="shared" si="7"/>
        <v>-30.303030303030027</v>
      </c>
      <c r="K21">
        <f t="shared" si="5"/>
        <v>-0.48543689320387912</v>
      </c>
    </row>
    <row r="22" spans="1:12" x14ac:dyDescent="0.25">
      <c r="A22" s="2">
        <v>44469</v>
      </c>
      <c r="B22" s="3" t="s">
        <v>112</v>
      </c>
      <c r="C22">
        <v>217</v>
      </c>
      <c r="D22" s="8">
        <v>33</v>
      </c>
      <c r="E22">
        <f t="shared" si="8"/>
        <v>6575.757575757576</v>
      </c>
      <c r="G22">
        <v>195</v>
      </c>
      <c r="H22">
        <v>33</v>
      </c>
      <c r="I22">
        <f t="shared" si="6"/>
        <v>5909.090909090909</v>
      </c>
      <c r="J22">
        <f t="shared" si="7"/>
        <v>666.66666666666697</v>
      </c>
      <c r="K22">
        <f t="shared" si="5"/>
        <v>10.138248847926272</v>
      </c>
    </row>
    <row r="23" spans="1:12" x14ac:dyDescent="0.25">
      <c r="A23" s="2"/>
    </row>
    <row r="24" spans="1:12" x14ac:dyDescent="0.25">
      <c r="A24" s="2">
        <v>44469</v>
      </c>
      <c r="B24" s="8" t="s">
        <v>109</v>
      </c>
      <c r="C24">
        <v>36856</v>
      </c>
      <c r="D24" s="8">
        <v>33</v>
      </c>
      <c r="E24">
        <f>+C24/D24*1000</f>
        <v>1116848.4848484849</v>
      </c>
    </row>
    <row r="25" spans="1:12" x14ac:dyDescent="0.25">
      <c r="A25" s="2"/>
    </row>
    <row r="26" spans="1:12" x14ac:dyDescent="0.25">
      <c r="A26" s="2"/>
    </row>
    <row r="27" spans="1:12" x14ac:dyDescent="0.25">
      <c r="A27" s="9"/>
    </row>
    <row r="29" spans="1:12" x14ac:dyDescent="0.25">
      <c r="E29">
        <f>AVERAGE(E4:E12)</f>
        <v>8050.5050505050522</v>
      </c>
    </row>
    <row r="30" spans="1:12" x14ac:dyDescent="0.25">
      <c r="A30" s="6"/>
      <c r="E30">
        <f>AVERAGE(E15:E22)</f>
        <v>6295.454545454545</v>
      </c>
    </row>
    <row r="31" spans="1:12" x14ac:dyDescent="0.25">
      <c r="E31">
        <f>+(E30-E29)/E29</f>
        <v>-0.21800501882057738</v>
      </c>
    </row>
    <row r="33" spans="1:8" x14ac:dyDescent="0.25">
      <c r="A33" t="s">
        <v>128</v>
      </c>
    </row>
    <row r="34" spans="1:8" x14ac:dyDescent="0.25">
      <c r="C34" t="s">
        <v>0</v>
      </c>
      <c r="D34" s="8" t="s">
        <v>1</v>
      </c>
      <c r="E34" t="s">
        <v>3</v>
      </c>
      <c r="F34" s="6"/>
      <c r="H34" t="s">
        <v>132</v>
      </c>
    </row>
    <row r="35" spans="1:8" x14ac:dyDescent="0.25">
      <c r="H35" t="e">
        <f>(E36-E35)/E36*100</f>
        <v>#DIV/0!</v>
      </c>
    </row>
    <row r="38" spans="1:8" x14ac:dyDescent="0.25">
      <c r="A38" t="s">
        <v>133</v>
      </c>
    </row>
    <row r="40" spans="1:8" x14ac:dyDescent="0.25">
      <c r="C40">
        <v>41581</v>
      </c>
      <c r="D40" s="8">
        <v>33</v>
      </c>
      <c r="E40">
        <f>+C40/D40*1000</f>
        <v>1260030.303030303</v>
      </c>
    </row>
    <row r="44" spans="1:8" x14ac:dyDescent="0.25">
      <c r="D44" s="8">
        <f>40000*20</f>
        <v>800000</v>
      </c>
    </row>
    <row r="45" spans="1:8" x14ac:dyDescent="0.25">
      <c r="D45" s="8">
        <f>+D44/E40</f>
        <v>0.63490536543132681</v>
      </c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C12" sqref="C12"/>
    </sheetView>
  </sheetViews>
  <sheetFormatPr defaultRowHeight="15" x14ac:dyDescent="0.25"/>
  <cols>
    <col min="1" max="1" width="12" bestFit="1" customWidth="1"/>
    <col min="2" max="2" width="19.5703125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1" x14ac:dyDescent="0.25">
      <c r="C1" t="s">
        <v>4</v>
      </c>
      <c r="F1" s="4"/>
      <c r="G1" t="s">
        <v>4</v>
      </c>
      <c r="K1" s="2"/>
    </row>
    <row r="2" spans="1:11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1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1" x14ac:dyDescent="0.25">
      <c r="A4" s="2">
        <v>44469</v>
      </c>
      <c r="B4" s="3" t="s">
        <v>118</v>
      </c>
      <c r="C4">
        <v>212</v>
      </c>
      <c r="D4" s="8">
        <v>33</v>
      </c>
      <c r="E4">
        <f>+C4/D4*1000</f>
        <v>6424.242424242424</v>
      </c>
      <c r="G4">
        <v>189</v>
      </c>
      <c r="H4">
        <v>33</v>
      </c>
      <c r="I4">
        <f>+G4/H4*1000</f>
        <v>5727.2727272727279</v>
      </c>
      <c r="J4">
        <f t="shared" ref="J4:J11" si="0">+E4-I4</f>
        <v>696.96969696969609</v>
      </c>
      <c r="K4">
        <f t="shared" ref="K4:K12" si="1">+J4/E4*100</f>
        <v>10.849056603773571</v>
      </c>
    </row>
    <row r="5" spans="1:11" x14ac:dyDescent="0.25">
      <c r="A5" s="2">
        <v>44469</v>
      </c>
      <c r="B5" s="3" t="s">
        <v>119</v>
      </c>
      <c r="C5" s="10">
        <v>650</v>
      </c>
      <c r="D5" s="8">
        <v>33</v>
      </c>
      <c r="E5">
        <f t="shared" ref="E5:E11" si="2">+C5/D5*1000</f>
        <v>19696.969696969696</v>
      </c>
      <c r="G5">
        <v>210</v>
      </c>
      <c r="H5">
        <v>33</v>
      </c>
      <c r="I5">
        <f t="shared" ref="I5:I12" si="3">+G5/H5*1000</f>
        <v>6363.6363636363631</v>
      </c>
      <c r="J5">
        <f t="shared" si="0"/>
        <v>13333.333333333332</v>
      </c>
      <c r="K5">
        <f t="shared" si="1"/>
        <v>67.692307692307679</v>
      </c>
    </row>
    <row r="6" spans="1:11" x14ac:dyDescent="0.25">
      <c r="A6" s="2">
        <v>44469</v>
      </c>
      <c r="B6" s="3" t="s">
        <v>116</v>
      </c>
      <c r="C6">
        <v>196</v>
      </c>
      <c r="D6" s="8">
        <v>33</v>
      </c>
      <c r="E6">
        <f t="shared" si="2"/>
        <v>5939.393939393939</v>
      </c>
      <c r="G6">
        <v>249</v>
      </c>
      <c r="H6">
        <v>33</v>
      </c>
      <c r="I6">
        <f t="shared" si="3"/>
        <v>7545.454545454546</v>
      </c>
      <c r="J6">
        <f t="shared" si="0"/>
        <v>-1606.0606060606069</v>
      </c>
      <c r="K6">
        <f t="shared" si="1"/>
        <v>-27.040816326530624</v>
      </c>
    </row>
    <row r="7" spans="1:11" x14ac:dyDescent="0.25">
      <c r="A7" s="2">
        <v>44469</v>
      </c>
      <c r="B7" s="3" t="s">
        <v>117</v>
      </c>
      <c r="C7">
        <v>231</v>
      </c>
      <c r="D7" s="8">
        <v>33</v>
      </c>
      <c r="E7">
        <f t="shared" si="2"/>
        <v>7000</v>
      </c>
      <c r="G7">
        <v>235</v>
      </c>
      <c r="H7">
        <v>33</v>
      </c>
      <c r="I7">
        <f t="shared" si="3"/>
        <v>7121.212121212121</v>
      </c>
      <c r="J7">
        <f t="shared" si="0"/>
        <v>-121.21212121212102</v>
      </c>
      <c r="K7">
        <f t="shared" si="1"/>
        <v>-1.7316017316017289</v>
      </c>
    </row>
    <row r="8" spans="1:11" x14ac:dyDescent="0.25">
      <c r="A8" s="2">
        <v>44469</v>
      </c>
      <c r="B8" s="3" t="s">
        <v>113</v>
      </c>
      <c r="C8">
        <v>281</v>
      </c>
      <c r="D8" s="8">
        <v>33</v>
      </c>
      <c r="E8">
        <f t="shared" si="2"/>
        <v>8515.1515151515159</v>
      </c>
      <c r="G8">
        <v>268</v>
      </c>
      <c r="H8">
        <v>33</v>
      </c>
      <c r="I8">
        <f t="shared" si="3"/>
        <v>8121.212121212121</v>
      </c>
      <c r="J8">
        <f t="shared" si="0"/>
        <v>393.9393939393949</v>
      </c>
      <c r="K8">
        <f t="shared" si="1"/>
        <v>4.6263345195729642</v>
      </c>
    </row>
    <row r="9" spans="1:11" x14ac:dyDescent="0.25">
      <c r="A9" s="2">
        <v>44469</v>
      </c>
      <c r="B9" s="3" t="s">
        <v>115</v>
      </c>
      <c r="C9">
        <v>261</v>
      </c>
      <c r="D9" s="8">
        <v>33</v>
      </c>
      <c r="E9">
        <f t="shared" si="2"/>
        <v>7909.090909090909</v>
      </c>
      <c r="G9">
        <v>288</v>
      </c>
      <c r="H9">
        <v>33</v>
      </c>
      <c r="I9">
        <f t="shared" si="3"/>
        <v>8727.2727272727261</v>
      </c>
      <c r="J9">
        <f t="shared" si="0"/>
        <v>-818.18181818181711</v>
      </c>
      <c r="K9">
        <f t="shared" si="1"/>
        <v>-10.344827586206883</v>
      </c>
    </row>
    <row r="10" spans="1:11" x14ac:dyDescent="0.25">
      <c r="A10" s="2">
        <v>44469</v>
      </c>
      <c r="B10" s="3" t="s">
        <v>114</v>
      </c>
      <c r="C10" s="10">
        <v>1138</v>
      </c>
      <c r="D10" s="8">
        <v>33</v>
      </c>
      <c r="E10">
        <f t="shared" si="2"/>
        <v>34484.848484848488</v>
      </c>
      <c r="G10">
        <v>190</v>
      </c>
      <c r="H10">
        <v>33</v>
      </c>
      <c r="I10">
        <f t="shared" si="3"/>
        <v>5757.575757575758</v>
      </c>
      <c r="J10">
        <f t="shared" si="0"/>
        <v>28727.272727272728</v>
      </c>
      <c r="K10">
        <f t="shared" si="1"/>
        <v>83.304042179261856</v>
      </c>
    </row>
    <row r="11" spans="1:11" x14ac:dyDescent="0.25">
      <c r="A11" s="2">
        <v>44469</v>
      </c>
      <c r="B11" s="3" t="s">
        <v>112</v>
      </c>
      <c r="C11">
        <v>314</v>
      </c>
      <c r="D11" s="8">
        <v>33</v>
      </c>
      <c r="E11">
        <f t="shared" si="2"/>
        <v>9515.1515151515159</v>
      </c>
      <c r="G11">
        <v>244</v>
      </c>
      <c r="H11">
        <v>33</v>
      </c>
      <c r="I11">
        <f t="shared" si="3"/>
        <v>7393.939393939394</v>
      </c>
      <c r="J11">
        <f t="shared" si="0"/>
        <v>2121.2121212121219</v>
      </c>
      <c r="K11">
        <f t="shared" si="1"/>
        <v>22.292993630573253</v>
      </c>
    </row>
    <row r="12" spans="1:11" x14ac:dyDescent="0.25">
      <c r="A12" s="2">
        <v>44469</v>
      </c>
      <c r="B12" s="3" t="s">
        <v>120</v>
      </c>
      <c r="C12">
        <v>223</v>
      </c>
      <c r="D12" s="8">
        <v>33</v>
      </c>
      <c r="E12">
        <f>+C12/D12*1000</f>
        <v>6757.575757575758</v>
      </c>
      <c r="G12">
        <v>261</v>
      </c>
      <c r="H12">
        <v>33</v>
      </c>
      <c r="I12">
        <f t="shared" si="3"/>
        <v>7909.090909090909</v>
      </c>
      <c r="J12">
        <f>+E12-I12</f>
        <v>-1151.515151515151</v>
      </c>
      <c r="K12">
        <f t="shared" si="1"/>
        <v>-17.040358744394609</v>
      </c>
    </row>
    <row r="13" spans="1:11" x14ac:dyDescent="0.25">
      <c r="A13" s="2"/>
    </row>
    <row r="14" spans="1:11" x14ac:dyDescent="0.25">
      <c r="A14" s="2"/>
    </row>
    <row r="15" spans="1:11" x14ac:dyDescent="0.25">
      <c r="A15" s="2">
        <v>44469</v>
      </c>
      <c r="B15" s="3" t="s">
        <v>118</v>
      </c>
      <c r="C15">
        <v>133</v>
      </c>
      <c r="D15" s="8">
        <v>33</v>
      </c>
      <c r="E15">
        <f t="shared" ref="E15" si="4">+C15/D15*1000</f>
        <v>4030.3030303030305</v>
      </c>
      <c r="G15">
        <v>177</v>
      </c>
      <c r="H15">
        <v>33</v>
      </c>
      <c r="I15">
        <f>+G15/H15*1000</f>
        <v>5363.6363636363631</v>
      </c>
      <c r="J15">
        <f>+E15-I15</f>
        <v>-1333.3333333333326</v>
      </c>
      <c r="K15">
        <f t="shared" ref="K15:K22" si="5">+J15/E15*100</f>
        <v>-33.082706766917276</v>
      </c>
    </row>
    <row r="16" spans="1:11" x14ac:dyDescent="0.25">
      <c r="A16" s="2">
        <v>44469</v>
      </c>
      <c r="B16" s="3" t="s">
        <v>119</v>
      </c>
      <c r="C16">
        <v>156</v>
      </c>
      <c r="D16" s="8">
        <v>33</v>
      </c>
      <c r="E16">
        <f>+C16/D16*1000</f>
        <v>4727.2727272727279</v>
      </c>
      <c r="G16">
        <v>169</v>
      </c>
      <c r="H16">
        <v>33</v>
      </c>
      <c r="I16">
        <f>+G16/H16*1000</f>
        <v>5121.212121212121</v>
      </c>
      <c r="J16">
        <f>+E16-I16</f>
        <v>-393.93939393939309</v>
      </c>
      <c r="K16">
        <f t="shared" si="5"/>
        <v>-8.3333333333333126</v>
      </c>
    </row>
    <row r="17" spans="1:16" x14ac:dyDescent="0.25">
      <c r="A17" s="2">
        <v>44469</v>
      </c>
      <c r="B17" s="3" t="s">
        <v>116</v>
      </c>
      <c r="C17">
        <v>136</v>
      </c>
      <c r="D17" s="8">
        <v>33</v>
      </c>
      <c r="E17">
        <f>+C17/D17*1000</f>
        <v>4121.212121212121</v>
      </c>
      <c r="G17">
        <v>165</v>
      </c>
      <c r="H17">
        <v>33</v>
      </c>
      <c r="I17">
        <f t="shared" ref="I17:I22" si="6">+G17/H17*1000</f>
        <v>5000</v>
      </c>
      <c r="J17">
        <f t="shared" ref="J17:J22" si="7">+E17-I17</f>
        <v>-878.78787878787898</v>
      </c>
      <c r="K17">
        <f t="shared" si="5"/>
        <v>-21.32352941176471</v>
      </c>
    </row>
    <row r="18" spans="1:16" x14ac:dyDescent="0.25">
      <c r="A18" s="2">
        <v>44469</v>
      </c>
      <c r="B18" s="3" t="s">
        <v>117</v>
      </c>
      <c r="C18">
        <v>164</v>
      </c>
      <c r="D18" s="8">
        <v>33</v>
      </c>
      <c r="E18">
        <f>+C18/D18*1000</f>
        <v>4969.69696969697</v>
      </c>
      <c r="G18">
        <v>200</v>
      </c>
      <c r="H18">
        <v>33</v>
      </c>
      <c r="I18">
        <f>+G18/H18*1000</f>
        <v>6060.606060606061</v>
      </c>
      <c r="J18">
        <f t="shared" si="7"/>
        <v>-1090.909090909091</v>
      </c>
      <c r="K18">
        <f t="shared" si="5"/>
        <v>-21.951219512195124</v>
      </c>
    </row>
    <row r="19" spans="1:16" x14ac:dyDescent="0.25">
      <c r="A19" s="2">
        <v>44469</v>
      </c>
      <c r="B19" s="3" t="s">
        <v>113</v>
      </c>
      <c r="C19">
        <v>282</v>
      </c>
      <c r="D19" s="8">
        <v>33</v>
      </c>
      <c r="E19">
        <f t="shared" ref="E19:E22" si="8">+C19/D19*1000</f>
        <v>8545.4545454545441</v>
      </c>
      <c r="G19">
        <v>236</v>
      </c>
      <c r="H19">
        <v>33</v>
      </c>
      <c r="I19">
        <f t="shared" si="6"/>
        <v>7151.515151515151</v>
      </c>
      <c r="J19">
        <f t="shared" si="7"/>
        <v>1393.9393939393931</v>
      </c>
      <c r="K19">
        <f t="shared" si="5"/>
        <v>16.312056737588644</v>
      </c>
    </row>
    <row r="20" spans="1:16" x14ac:dyDescent="0.25">
      <c r="A20" s="2">
        <v>44469</v>
      </c>
      <c r="B20" s="3" t="s">
        <v>115</v>
      </c>
      <c r="C20">
        <v>246</v>
      </c>
      <c r="D20" s="8">
        <v>33</v>
      </c>
      <c r="E20">
        <f t="shared" si="8"/>
        <v>7454.545454545454</v>
      </c>
      <c r="G20">
        <v>239</v>
      </c>
      <c r="H20">
        <v>33</v>
      </c>
      <c r="I20">
        <f t="shared" si="6"/>
        <v>7242.424242424242</v>
      </c>
      <c r="J20">
        <f t="shared" si="7"/>
        <v>212.12121212121201</v>
      </c>
      <c r="K20">
        <f t="shared" si="5"/>
        <v>2.8455284552845517</v>
      </c>
    </row>
    <row r="21" spans="1:16" x14ac:dyDescent="0.25">
      <c r="A21" s="2">
        <v>44469</v>
      </c>
      <c r="B21" s="3" t="s">
        <v>114</v>
      </c>
      <c r="C21">
        <v>248</v>
      </c>
      <c r="D21" s="8">
        <v>33</v>
      </c>
      <c r="E21">
        <f t="shared" si="8"/>
        <v>7515.1515151515159</v>
      </c>
      <c r="G21">
        <v>255</v>
      </c>
      <c r="H21">
        <v>33</v>
      </c>
      <c r="I21">
        <f t="shared" si="6"/>
        <v>7727.2727272727279</v>
      </c>
      <c r="J21">
        <f t="shared" si="7"/>
        <v>-212.12121212121201</v>
      </c>
      <c r="K21">
        <f t="shared" si="5"/>
        <v>-2.8225806451612887</v>
      </c>
    </row>
    <row r="22" spans="1:16" x14ac:dyDescent="0.25">
      <c r="A22" s="2">
        <v>44469</v>
      </c>
      <c r="B22" s="3" t="s">
        <v>112</v>
      </c>
      <c r="C22">
        <v>247</v>
      </c>
      <c r="D22" s="8">
        <v>33</v>
      </c>
      <c r="E22">
        <f t="shared" si="8"/>
        <v>7484.8484848484841</v>
      </c>
      <c r="G22">
        <v>225</v>
      </c>
      <c r="H22">
        <v>33</v>
      </c>
      <c r="I22">
        <f t="shared" si="6"/>
        <v>6818.181818181818</v>
      </c>
      <c r="J22">
        <f t="shared" si="7"/>
        <v>666.66666666666606</v>
      </c>
      <c r="K22">
        <f t="shared" si="5"/>
        <v>8.90688259109311</v>
      </c>
    </row>
    <row r="23" spans="1:16" x14ac:dyDescent="0.25">
      <c r="A23" s="2"/>
    </row>
    <row r="24" spans="1:16" x14ac:dyDescent="0.25">
      <c r="A24" s="2">
        <v>44469</v>
      </c>
      <c r="B24" s="8" t="s">
        <v>109</v>
      </c>
      <c r="C24">
        <v>32594</v>
      </c>
      <c r="D24" s="8">
        <v>33</v>
      </c>
      <c r="E24">
        <f>+C24/D24*1000</f>
        <v>987696.96969696973</v>
      </c>
    </row>
    <row r="25" spans="1:16" x14ac:dyDescent="0.25">
      <c r="A25" s="2">
        <v>44469</v>
      </c>
      <c r="B25" s="8" t="s">
        <v>134</v>
      </c>
      <c r="C25">
        <v>641</v>
      </c>
      <c r="D25" s="8">
        <v>33</v>
      </c>
      <c r="E25">
        <f>+C25/D25*1000</f>
        <v>19424.242424242424</v>
      </c>
    </row>
    <row r="26" spans="1:16" x14ac:dyDescent="0.25">
      <c r="A26" s="2">
        <v>44469</v>
      </c>
      <c r="B26" s="8" t="s">
        <v>135</v>
      </c>
      <c r="C26">
        <v>828</v>
      </c>
      <c r="D26" s="8">
        <v>33</v>
      </c>
      <c r="E26">
        <f>+C26/D26*1000</f>
        <v>25090.909090909088</v>
      </c>
    </row>
    <row r="28" spans="1:16" x14ac:dyDescent="0.25">
      <c r="I28" t="s">
        <v>136</v>
      </c>
    </row>
    <row r="29" spans="1:16" x14ac:dyDescent="0.25">
      <c r="E29">
        <f>AVERAGE(E4:E12)</f>
        <v>11804.713804713807</v>
      </c>
      <c r="I29" s="10" t="s">
        <v>137</v>
      </c>
      <c r="J29" s="10"/>
      <c r="K29" s="10"/>
      <c r="L29" s="10"/>
      <c r="M29" s="10"/>
      <c r="N29" s="10"/>
      <c r="O29" s="10"/>
      <c r="P29" s="10"/>
    </row>
    <row r="30" spans="1:16" x14ac:dyDescent="0.25">
      <c r="A30" s="6"/>
      <c r="E30">
        <f>AVERAGE(E15:E22)</f>
        <v>6106.060606060606</v>
      </c>
      <c r="I30" s="10" t="s">
        <v>138</v>
      </c>
      <c r="J30" s="10"/>
      <c r="K30" s="10"/>
      <c r="L30" s="10"/>
      <c r="M30" s="10"/>
      <c r="N30" s="10"/>
      <c r="O30" s="10"/>
      <c r="P30" s="10"/>
    </row>
    <row r="31" spans="1:16" x14ac:dyDescent="0.25">
      <c r="E31">
        <f>+(E30-E29)/E29</f>
        <v>-0.48274386765544791</v>
      </c>
      <c r="I31" t="s">
        <v>139</v>
      </c>
    </row>
    <row r="33" spans="1:8" x14ac:dyDescent="0.25">
      <c r="A33" t="s">
        <v>128</v>
      </c>
    </row>
    <row r="34" spans="1:8" x14ac:dyDescent="0.25">
      <c r="C34" t="s">
        <v>0</v>
      </c>
      <c r="D34" s="8" t="s">
        <v>1</v>
      </c>
      <c r="E34" t="s">
        <v>3</v>
      </c>
      <c r="F34" s="6"/>
      <c r="H34" t="s">
        <v>132</v>
      </c>
    </row>
    <row r="35" spans="1:8" x14ac:dyDescent="0.25">
      <c r="H35" t="e">
        <f>(E36-E35)/E36*100</f>
        <v>#DIV/0!</v>
      </c>
    </row>
    <row r="38" spans="1:8" x14ac:dyDescent="0.25">
      <c r="A38" t="s">
        <v>133</v>
      </c>
    </row>
    <row r="40" spans="1:8" x14ac:dyDescent="0.25">
      <c r="C40">
        <v>41581</v>
      </c>
      <c r="D40" s="8">
        <v>33</v>
      </c>
      <c r="E40">
        <f>+C40/D40*1000</f>
        <v>1260030.303030303</v>
      </c>
    </row>
    <row r="44" spans="1:8" x14ac:dyDescent="0.25">
      <c r="D44" s="8">
        <f>40000*20</f>
        <v>800000</v>
      </c>
    </row>
    <row r="45" spans="1:8" x14ac:dyDescent="0.25">
      <c r="D45" s="8">
        <f>+D44/E40</f>
        <v>0.63490536543132681</v>
      </c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I23" sqref="I23"/>
    </sheetView>
  </sheetViews>
  <sheetFormatPr defaultRowHeight="15" x14ac:dyDescent="0.25"/>
  <cols>
    <col min="1" max="1" width="12" bestFit="1" customWidth="1"/>
    <col min="2" max="2" width="19.5703125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1" x14ac:dyDescent="0.25">
      <c r="C1" t="s">
        <v>4</v>
      </c>
      <c r="F1" s="4"/>
      <c r="G1" t="s">
        <v>4</v>
      </c>
      <c r="K1" s="2"/>
    </row>
    <row r="2" spans="1:11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1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G3" t="s">
        <v>0</v>
      </c>
      <c r="H3" t="s">
        <v>1</v>
      </c>
      <c r="I3" t="s">
        <v>6</v>
      </c>
      <c r="J3" t="s">
        <v>10</v>
      </c>
      <c r="K3" s="5"/>
    </row>
    <row r="4" spans="1:11" x14ac:dyDescent="0.25">
      <c r="A4" s="2">
        <v>44469</v>
      </c>
      <c r="B4" s="3" t="s">
        <v>118</v>
      </c>
      <c r="C4">
        <v>207</v>
      </c>
      <c r="D4" s="8">
        <v>33</v>
      </c>
      <c r="E4">
        <f>+C4/D4*1000</f>
        <v>6272.7272727272721</v>
      </c>
      <c r="G4">
        <v>175</v>
      </c>
      <c r="H4">
        <v>33</v>
      </c>
      <c r="I4">
        <f>+G4/H4*1000</f>
        <v>5303.030303030303</v>
      </c>
      <c r="J4">
        <f t="shared" ref="J4:J11" si="0">+E4-I4</f>
        <v>969.69696969696906</v>
      </c>
      <c r="K4">
        <f t="shared" ref="K4:K12" si="1">+J4/E4*100</f>
        <v>15.458937198067623</v>
      </c>
    </row>
    <row r="5" spans="1:11" x14ac:dyDescent="0.25">
      <c r="A5" s="2">
        <v>44469</v>
      </c>
      <c r="B5" s="3" t="s">
        <v>119</v>
      </c>
      <c r="C5" s="11">
        <v>180</v>
      </c>
      <c r="D5" s="8">
        <v>33</v>
      </c>
      <c r="E5">
        <f t="shared" ref="E5:E11" si="2">+C5/D5*1000</f>
        <v>5454.545454545454</v>
      </c>
      <c r="G5">
        <v>223</v>
      </c>
      <c r="H5">
        <v>33</v>
      </c>
      <c r="I5">
        <f t="shared" ref="I5:I12" si="3">+G5/H5*1000</f>
        <v>6757.575757575758</v>
      </c>
      <c r="J5">
        <f t="shared" si="0"/>
        <v>-1303.0303030303039</v>
      </c>
      <c r="K5">
        <f t="shared" si="1"/>
        <v>-23.888888888888907</v>
      </c>
    </row>
    <row r="6" spans="1:11" x14ac:dyDescent="0.25">
      <c r="A6" s="2">
        <v>44469</v>
      </c>
      <c r="B6" s="3" t="s">
        <v>116</v>
      </c>
      <c r="C6" s="11">
        <v>248</v>
      </c>
      <c r="D6" s="8">
        <v>33</v>
      </c>
      <c r="E6">
        <f t="shared" si="2"/>
        <v>7515.1515151515159</v>
      </c>
      <c r="G6">
        <v>198</v>
      </c>
      <c r="H6">
        <v>33</v>
      </c>
      <c r="I6">
        <f t="shared" si="3"/>
        <v>6000</v>
      </c>
      <c r="J6">
        <f t="shared" si="0"/>
        <v>1515.1515151515159</v>
      </c>
      <c r="K6">
        <f t="shared" si="1"/>
        <v>20.161290322580651</v>
      </c>
    </row>
    <row r="7" spans="1:11" x14ac:dyDescent="0.25">
      <c r="A7" s="2">
        <v>44469</v>
      </c>
      <c r="B7" s="3" t="s">
        <v>117</v>
      </c>
      <c r="C7" s="11">
        <v>300</v>
      </c>
      <c r="D7" s="8">
        <v>33</v>
      </c>
      <c r="E7">
        <f t="shared" si="2"/>
        <v>9090.9090909090919</v>
      </c>
      <c r="G7">
        <v>217</v>
      </c>
      <c r="H7">
        <v>33</v>
      </c>
      <c r="I7">
        <f t="shared" si="3"/>
        <v>6575.757575757576</v>
      </c>
      <c r="J7">
        <f t="shared" si="0"/>
        <v>2515.1515151515159</v>
      </c>
      <c r="K7">
        <f t="shared" si="1"/>
        <v>27.666666666666671</v>
      </c>
    </row>
    <row r="8" spans="1:11" x14ac:dyDescent="0.25">
      <c r="A8" s="2">
        <v>44469</v>
      </c>
      <c r="B8" s="3" t="s">
        <v>113</v>
      </c>
      <c r="C8" s="11">
        <v>253</v>
      </c>
      <c r="D8" s="8">
        <v>33</v>
      </c>
      <c r="E8">
        <f t="shared" si="2"/>
        <v>7666.666666666667</v>
      </c>
      <c r="G8">
        <v>151</v>
      </c>
      <c r="H8">
        <v>33</v>
      </c>
      <c r="I8">
        <f t="shared" si="3"/>
        <v>4575.757575757576</v>
      </c>
      <c r="J8">
        <f t="shared" si="0"/>
        <v>3090.909090909091</v>
      </c>
      <c r="K8">
        <f t="shared" si="1"/>
        <v>40.316205533596836</v>
      </c>
    </row>
    <row r="9" spans="1:11" x14ac:dyDescent="0.25">
      <c r="A9" s="2">
        <v>44469</v>
      </c>
      <c r="B9" s="3" t="s">
        <v>115</v>
      </c>
      <c r="C9" s="11">
        <v>194</v>
      </c>
      <c r="D9" s="8">
        <v>33</v>
      </c>
      <c r="E9">
        <f t="shared" si="2"/>
        <v>5878.787878787879</v>
      </c>
      <c r="G9">
        <v>301</v>
      </c>
      <c r="H9">
        <v>33</v>
      </c>
      <c r="I9">
        <f t="shared" si="3"/>
        <v>9121.2121212121219</v>
      </c>
      <c r="J9">
        <f t="shared" si="0"/>
        <v>-3242.4242424242429</v>
      </c>
      <c r="K9">
        <f t="shared" si="1"/>
        <v>-55.154639175257735</v>
      </c>
    </row>
    <row r="10" spans="1:11" x14ac:dyDescent="0.25">
      <c r="A10" s="2">
        <v>44469</v>
      </c>
      <c r="B10" s="3" t="s">
        <v>114</v>
      </c>
      <c r="C10" s="11">
        <v>257</v>
      </c>
      <c r="D10" s="8">
        <v>33</v>
      </c>
      <c r="E10">
        <f t="shared" si="2"/>
        <v>7787.878787878788</v>
      </c>
      <c r="G10">
        <v>192</v>
      </c>
      <c r="H10">
        <v>33</v>
      </c>
      <c r="I10">
        <f t="shared" si="3"/>
        <v>5818.181818181818</v>
      </c>
      <c r="J10">
        <f t="shared" si="0"/>
        <v>1969.69696969697</v>
      </c>
      <c r="K10">
        <f t="shared" si="1"/>
        <v>25.291828793774325</v>
      </c>
    </row>
    <row r="11" spans="1:11" x14ac:dyDescent="0.25">
      <c r="A11" s="2">
        <v>44469</v>
      </c>
      <c r="B11" s="3" t="s">
        <v>112</v>
      </c>
      <c r="C11" s="11">
        <v>202</v>
      </c>
      <c r="D11" s="8">
        <v>33</v>
      </c>
      <c r="E11">
        <f t="shared" si="2"/>
        <v>6121.212121212121</v>
      </c>
      <c r="G11" s="10">
        <v>1364</v>
      </c>
      <c r="H11">
        <v>33</v>
      </c>
      <c r="I11">
        <f t="shared" si="3"/>
        <v>41333.333333333336</v>
      </c>
      <c r="J11">
        <f t="shared" si="0"/>
        <v>-35212.121212121216</v>
      </c>
      <c r="K11">
        <f t="shared" si="1"/>
        <v>-575.24752475247533</v>
      </c>
    </row>
    <row r="12" spans="1:11" x14ac:dyDescent="0.25">
      <c r="A12" s="2">
        <v>44469</v>
      </c>
      <c r="B12" s="3" t="s">
        <v>120</v>
      </c>
      <c r="C12" s="11">
        <v>260</v>
      </c>
      <c r="D12" s="8">
        <v>33</v>
      </c>
      <c r="E12">
        <f>+C12/D12*1000</f>
        <v>7878.787878787879</v>
      </c>
      <c r="G12">
        <v>211</v>
      </c>
      <c r="H12">
        <v>33</v>
      </c>
      <c r="I12">
        <f t="shared" si="3"/>
        <v>6393.939393939394</v>
      </c>
      <c r="J12">
        <f>+E12-I12</f>
        <v>1484.848484848485</v>
      </c>
      <c r="K12">
        <f t="shared" si="1"/>
        <v>18.84615384615385</v>
      </c>
    </row>
    <row r="13" spans="1:11" x14ac:dyDescent="0.25">
      <c r="A13" s="2"/>
    </row>
    <row r="14" spans="1:11" x14ac:dyDescent="0.25">
      <c r="A14" s="2"/>
    </row>
    <row r="15" spans="1:11" x14ac:dyDescent="0.25">
      <c r="A15" s="2">
        <v>44469</v>
      </c>
      <c r="B15" s="3" t="s">
        <v>118</v>
      </c>
      <c r="C15">
        <v>104</v>
      </c>
      <c r="D15" s="8">
        <v>33</v>
      </c>
      <c r="E15">
        <f t="shared" ref="E15" si="4">+C15/D15*1000</f>
        <v>3151.5151515151515</v>
      </c>
      <c r="G15">
        <v>76</v>
      </c>
      <c r="H15">
        <v>33</v>
      </c>
      <c r="I15">
        <f>+G15/H15*1000</f>
        <v>2303.030303030303</v>
      </c>
      <c r="J15">
        <f>+E15-I15</f>
        <v>848.4848484848485</v>
      </c>
      <c r="K15">
        <f t="shared" ref="K15:K22" si="5">+J15/E15*100</f>
        <v>26.923076923076923</v>
      </c>
    </row>
    <row r="16" spans="1:11" x14ac:dyDescent="0.25">
      <c r="A16" s="2">
        <v>44469</v>
      </c>
      <c r="B16" s="3" t="s">
        <v>119</v>
      </c>
      <c r="C16" s="13">
        <v>103</v>
      </c>
      <c r="D16" s="8">
        <v>33</v>
      </c>
      <c r="E16">
        <f>+C16/D16*1000</f>
        <v>3121.212121212121</v>
      </c>
      <c r="G16">
        <v>85</v>
      </c>
      <c r="H16">
        <v>33</v>
      </c>
      <c r="I16">
        <f>+G16/H16*1000</f>
        <v>2575.7575757575755</v>
      </c>
      <c r="J16">
        <f>+E16-I16</f>
        <v>545.4545454545455</v>
      </c>
      <c r="K16">
        <f t="shared" si="5"/>
        <v>17.475728155339809</v>
      </c>
    </row>
    <row r="17" spans="1:17" x14ac:dyDescent="0.25">
      <c r="A17" s="2">
        <v>44469</v>
      </c>
      <c r="B17" s="3" t="s">
        <v>116</v>
      </c>
      <c r="C17">
        <v>115</v>
      </c>
      <c r="D17" s="8">
        <v>33</v>
      </c>
      <c r="E17">
        <f>+C17/D17*1000</f>
        <v>3484.848484848485</v>
      </c>
      <c r="G17">
        <v>79</v>
      </c>
      <c r="H17">
        <v>33</v>
      </c>
      <c r="I17">
        <f t="shared" ref="I17:I22" si="6">+G17/H17*1000</f>
        <v>2393.939393939394</v>
      </c>
      <c r="J17">
        <f t="shared" ref="J17:J22" si="7">+E17-I17</f>
        <v>1090.909090909091</v>
      </c>
      <c r="K17">
        <f t="shared" si="5"/>
        <v>31.304347826086961</v>
      </c>
    </row>
    <row r="18" spans="1:17" x14ac:dyDescent="0.25">
      <c r="A18" s="2">
        <v>44469</v>
      </c>
      <c r="B18" s="3" t="s">
        <v>117</v>
      </c>
      <c r="C18">
        <v>126</v>
      </c>
      <c r="D18" s="8">
        <v>33</v>
      </c>
      <c r="E18">
        <f>+C18/D18*1000</f>
        <v>3818.1818181818185</v>
      </c>
      <c r="G18">
        <v>100</v>
      </c>
      <c r="H18">
        <v>33</v>
      </c>
      <c r="I18">
        <f>+G18/H18*1000</f>
        <v>3030.3030303030305</v>
      </c>
      <c r="J18">
        <f t="shared" si="7"/>
        <v>787.87878787878799</v>
      </c>
      <c r="K18">
        <f t="shared" si="5"/>
        <v>20.634920634920636</v>
      </c>
    </row>
    <row r="19" spans="1:17" x14ac:dyDescent="0.25">
      <c r="A19" s="2">
        <v>44469</v>
      </c>
      <c r="B19" s="3" t="s">
        <v>113</v>
      </c>
      <c r="C19">
        <v>164</v>
      </c>
      <c r="D19" s="8">
        <v>33</v>
      </c>
      <c r="E19">
        <f t="shared" ref="E19:E22" si="8">+C19/D19*1000</f>
        <v>4969.69696969697</v>
      </c>
      <c r="G19">
        <v>159</v>
      </c>
      <c r="H19">
        <v>33</v>
      </c>
      <c r="I19">
        <f t="shared" si="6"/>
        <v>4818.181818181818</v>
      </c>
      <c r="J19">
        <f t="shared" si="7"/>
        <v>151.51515151515196</v>
      </c>
      <c r="K19">
        <f t="shared" si="5"/>
        <v>3.0487804878048865</v>
      </c>
    </row>
    <row r="20" spans="1:17" x14ac:dyDescent="0.25">
      <c r="A20" s="2">
        <v>44469</v>
      </c>
      <c r="B20" s="3" t="s">
        <v>115</v>
      </c>
      <c r="C20">
        <v>156</v>
      </c>
      <c r="D20" s="8">
        <v>33</v>
      </c>
      <c r="E20">
        <f t="shared" si="8"/>
        <v>4727.2727272727279</v>
      </c>
      <c r="G20">
        <v>149</v>
      </c>
      <c r="H20">
        <v>33</v>
      </c>
      <c r="I20">
        <f t="shared" si="6"/>
        <v>4515.1515151515159</v>
      </c>
      <c r="J20">
        <f t="shared" si="7"/>
        <v>212.12121212121201</v>
      </c>
      <c r="K20">
        <f t="shared" si="5"/>
        <v>4.4871794871794846</v>
      </c>
    </row>
    <row r="21" spans="1:17" x14ac:dyDescent="0.25">
      <c r="A21" s="2">
        <v>44469</v>
      </c>
      <c r="B21" s="3" t="s">
        <v>114</v>
      </c>
      <c r="C21" s="12">
        <v>177</v>
      </c>
      <c r="D21" s="8">
        <v>33</v>
      </c>
      <c r="E21">
        <f t="shared" si="8"/>
        <v>5363.6363636363631</v>
      </c>
      <c r="G21">
        <v>183</v>
      </c>
      <c r="H21">
        <v>33</v>
      </c>
      <c r="I21">
        <f t="shared" si="6"/>
        <v>5545.454545454546</v>
      </c>
      <c r="J21">
        <f t="shared" si="7"/>
        <v>-181.81818181818289</v>
      </c>
      <c r="K21">
        <f t="shared" si="5"/>
        <v>-3.3898305084745965</v>
      </c>
    </row>
    <row r="22" spans="1:17" x14ac:dyDescent="0.25">
      <c r="A22" s="2">
        <v>44469</v>
      </c>
      <c r="B22" s="3" t="s">
        <v>112</v>
      </c>
      <c r="C22">
        <v>174</v>
      </c>
      <c r="D22" s="8">
        <v>33</v>
      </c>
      <c r="E22">
        <f t="shared" si="8"/>
        <v>5272.7272727272721</v>
      </c>
      <c r="G22">
        <v>158</v>
      </c>
      <c r="H22">
        <v>33</v>
      </c>
      <c r="I22">
        <f t="shared" si="6"/>
        <v>4787.878787878788</v>
      </c>
      <c r="J22">
        <f t="shared" si="7"/>
        <v>484.84848484848408</v>
      </c>
      <c r="K22">
        <f t="shared" si="5"/>
        <v>9.1954022988505599</v>
      </c>
    </row>
    <row r="23" spans="1:17" x14ac:dyDescent="0.25">
      <c r="A23" s="2"/>
    </row>
    <row r="24" spans="1:17" x14ac:dyDescent="0.25">
      <c r="A24" s="2">
        <v>44469</v>
      </c>
      <c r="B24" s="8" t="s">
        <v>109</v>
      </c>
      <c r="C24">
        <v>63460</v>
      </c>
      <c r="D24" s="8">
        <v>33</v>
      </c>
      <c r="E24">
        <f>+C24/D24*1000</f>
        <v>1923030.303030303</v>
      </c>
    </row>
    <row r="25" spans="1:17" x14ac:dyDescent="0.25">
      <c r="B25" s="8" t="s">
        <v>145</v>
      </c>
      <c r="G25" s="2" t="s">
        <v>146</v>
      </c>
    </row>
    <row r="26" spans="1:17" x14ac:dyDescent="0.25">
      <c r="A26" s="2"/>
      <c r="B26" s="8" t="s">
        <v>140</v>
      </c>
      <c r="C26">
        <v>439</v>
      </c>
      <c r="D26" s="8">
        <v>33</v>
      </c>
      <c r="E26">
        <f>+C26/D26*1000</f>
        <v>13303.030303030302</v>
      </c>
      <c r="G26" t="s">
        <v>144</v>
      </c>
    </row>
    <row r="27" spans="1:17" x14ac:dyDescent="0.25">
      <c r="B27" s="8" t="s">
        <v>141</v>
      </c>
      <c r="C27">
        <v>410</v>
      </c>
      <c r="D27" s="8">
        <v>33</v>
      </c>
      <c r="E27">
        <f>+C27/D27*1000</f>
        <v>12424.242424242424</v>
      </c>
    </row>
    <row r="28" spans="1:17" x14ac:dyDescent="0.25">
      <c r="B28" s="8" t="s">
        <v>142</v>
      </c>
      <c r="C28" s="13">
        <v>246</v>
      </c>
      <c r="D28" s="8">
        <v>33</v>
      </c>
      <c r="E28">
        <f>+C28/D28*1000</f>
        <v>7454.545454545454</v>
      </c>
      <c r="I28" s="11"/>
      <c r="J28" s="11"/>
      <c r="K28" s="11"/>
      <c r="L28" s="11"/>
      <c r="M28" s="11"/>
      <c r="N28" s="11"/>
      <c r="O28" s="11"/>
      <c r="P28" s="11"/>
      <c r="Q28" s="11"/>
    </row>
    <row r="29" spans="1:17" x14ac:dyDescent="0.25">
      <c r="B29" s="8" t="s">
        <v>143</v>
      </c>
      <c r="C29" s="12">
        <v>227</v>
      </c>
      <c r="D29" s="8">
        <v>33</v>
      </c>
      <c r="E29">
        <f>+C29/D29*1000</f>
        <v>6878.787878787879</v>
      </c>
    </row>
    <row r="31" spans="1:17" x14ac:dyDescent="0.25">
      <c r="E31">
        <f>AVERAGE(E4:E12)</f>
        <v>7074.0740740740748</v>
      </c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25">
      <c r="A32" s="6"/>
      <c r="E32">
        <f>AVERAGE(E15:E22)</f>
        <v>4238.636363636364</v>
      </c>
      <c r="I32" s="11"/>
      <c r="J32" s="11"/>
      <c r="K32" s="11"/>
      <c r="L32" s="11"/>
      <c r="M32" s="11"/>
      <c r="N32" s="11"/>
      <c r="O32" s="11"/>
      <c r="P32" s="11"/>
      <c r="Q32" s="11"/>
    </row>
    <row r="33" spans="1:17" x14ac:dyDescent="0.25">
      <c r="E33">
        <f>+(E32-E31)/E31</f>
        <v>-0.40082103760114235</v>
      </c>
      <c r="I33" s="11"/>
      <c r="J33" s="11"/>
      <c r="K33" s="11"/>
      <c r="L33" s="11"/>
      <c r="M33" s="11"/>
      <c r="N33" s="11"/>
      <c r="O33" s="11"/>
      <c r="P33" s="11"/>
      <c r="Q33" s="11"/>
    </row>
    <row r="34" spans="1:17" x14ac:dyDescent="0.25">
      <c r="A34" t="s">
        <v>128</v>
      </c>
    </row>
    <row r="35" spans="1:17" x14ac:dyDescent="0.25">
      <c r="C35" t="s">
        <v>0</v>
      </c>
      <c r="D35" s="8" t="s">
        <v>1</v>
      </c>
      <c r="E35" t="s">
        <v>3</v>
      </c>
      <c r="F35" s="6"/>
      <c r="H35" t="s">
        <v>132</v>
      </c>
    </row>
    <row r="36" spans="1:17" x14ac:dyDescent="0.25">
      <c r="H36" t="e">
        <f>(E37-E36)/E37*100</f>
        <v>#DIV/0!</v>
      </c>
    </row>
    <row r="39" spans="1:17" x14ac:dyDescent="0.25">
      <c r="A39" t="s">
        <v>133</v>
      </c>
    </row>
    <row r="41" spans="1:17" x14ac:dyDescent="0.25">
      <c r="D41" s="8">
        <v>33</v>
      </c>
      <c r="E41">
        <f>+C41/D41*1000</f>
        <v>0</v>
      </c>
    </row>
    <row r="44" spans="1:17" x14ac:dyDescent="0.25">
      <c r="D44" s="8">
        <f>40000*20</f>
        <v>800000</v>
      </c>
    </row>
    <row r="45" spans="1:17" x14ac:dyDescent="0.25">
      <c r="D45" s="8" t="e">
        <f>+D44/E41</f>
        <v>#DIV/0!</v>
      </c>
    </row>
    <row r="66" spans="1:1" x14ac:dyDescent="0.25">
      <c r="A66" s="6"/>
    </row>
    <row r="72" spans="1:1" x14ac:dyDescent="0.25">
      <c r="A72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H33" sqref="H33"/>
    </sheetView>
  </sheetViews>
  <sheetFormatPr defaultRowHeight="15" x14ac:dyDescent="0.25"/>
  <cols>
    <col min="1" max="1" width="12" bestFit="1" customWidth="1"/>
    <col min="2" max="2" width="30.140625" style="3" customWidth="1"/>
    <col min="3" max="3" width="10" bestFit="1" customWidth="1"/>
    <col min="4" max="4" width="12" style="8" bestFit="1" customWidth="1"/>
    <col min="5" max="5" width="11" bestFit="1" customWidth="1"/>
    <col min="6" max="6" width="3.5703125" customWidth="1"/>
    <col min="7" max="7" width="10" bestFit="1" customWidth="1"/>
    <col min="10" max="10" width="7.85546875" customWidth="1"/>
    <col min="11" max="11" width="19.85546875" customWidth="1"/>
  </cols>
  <sheetData>
    <row r="1" spans="1:11" x14ac:dyDescent="0.25">
      <c r="C1" t="s">
        <v>4</v>
      </c>
      <c r="F1" s="4"/>
      <c r="G1" t="s">
        <v>4</v>
      </c>
      <c r="K1" s="2"/>
    </row>
    <row r="2" spans="1:11" x14ac:dyDescent="0.25">
      <c r="A2" s="5"/>
      <c r="C2" t="s">
        <v>5</v>
      </c>
      <c r="F2" s="5"/>
      <c r="G2" t="s">
        <v>5</v>
      </c>
      <c r="J2" t="s">
        <v>9</v>
      </c>
      <c r="K2" t="s">
        <v>60</v>
      </c>
    </row>
    <row r="3" spans="1:11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H3" t="s">
        <v>1</v>
      </c>
      <c r="I3" t="s">
        <v>6</v>
      </c>
      <c r="J3" t="s">
        <v>10</v>
      </c>
      <c r="K3" s="5"/>
    </row>
    <row r="4" spans="1:11" x14ac:dyDescent="0.25">
      <c r="A4" s="2">
        <v>44469</v>
      </c>
      <c r="B4" s="3" t="s">
        <v>118</v>
      </c>
      <c r="C4">
        <v>131</v>
      </c>
      <c r="D4" s="8">
        <v>33</v>
      </c>
      <c r="E4">
        <f>+C4/D4*1000</f>
        <v>3969.6969696969695</v>
      </c>
      <c r="G4">
        <v>129</v>
      </c>
      <c r="H4">
        <v>33</v>
      </c>
      <c r="I4">
        <f>+G4/H4*1000</f>
        <v>3909.090909090909</v>
      </c>
      <c r="J4">
        <f t="shared" ref="J4:J11" si="0">+E4-I4</f>
        <v>60.60606060606051</v>
      </c>
      <c r="K4">
        <f t="shared" ref="K4:K12" si="1">+J4/E4*100</f>
        <v>1.5267175572519061</v>
      </c>
    </row>
    <row r="5" spans="1:11" x14ac:dyDescent="0.25">
      <c r="A5" s="2">
        <v>44469</v>
      </c>
      <c r="B5" s="3" t="s">
        <v>119</v>
      </c>
      <c r="C5" s="11">
        <v>134</v>
      </c>
      <c r="D5" s="8">
        <v>33</v>
      </c>
      <c r="E5">
        <f t="shared" ref="E5:E11" si="2">+C5/D5*1000</f>
        <v>4060.6060606060605</v>
      </c>
      <c r="G5">
        <v>117</v>
      </c>
      <c r="H5">
        <v>33</v>
      </c>
      <c r="I5">
        <f t="shared" ref="I5:I12" si="3">+G5/H5*1000</f>
        <v>3545.4545454545455</v>
      </c>
      <c r="J5">
        <f t="shared" si="0"/>
        <v>515.15151515151501</v>
      </c>
      <c r="K5">
        <f t="shared" si="1"/>
        <v>12.686567164179102</v>
      </c>
    </row>
    <row r="6" spans="1:11" x14ac:dyDescent="0.25">
      <c r="A6" s="2">
        <v>44469</v>
      </c>
      <c r="B6" s="3" t="s">
        <v>116</v>
      </c>
      <c r="C6" s="11">
        <v>179</v>
      </c>
      <c r="D6" s="8">
        <v>33</v>
      </c>
      <c r="E6">
        <f t="shared" si="2"/>
        <v>5424.242424242424</v>
      </c>
      <c r="G6">
        <v>140</v>
      </c>
      <c r="H6">
        <v>33</v>
      </c>
      <c r="I6">
        <f t="shared" si="3"/>
        <v>4242.424242424242</v>
      </c>
      <c r="J6">
        <f t="shared" si="0"/>
        <v>1181.818181818182</v>
      </c>
      <c r="K6">
        <f t="shared" si="1"/>
        <v>21.787709497206709</v>
      </c>
    </row>
    <row r="7" spans="1:11" x14ac:dyDescent="0.25">
      <c r="A7" s="2">
        <v>44469</v>
      </c>
      <c r="B7" s="3" t="s">
        <v>117</v>
      </c>
      <c r="C7" s="11">
        <v>166</v>
      </c>
      <c r="D7" s="8">
        <v>33</v>
      </c>
      <c r="E7">
        <f t="shared" si="2"/>
        <v>5030.30303030303</v>
      </c>
      <c r="G7">
        <v>150</v>
      </c>
      <c r="H7">
        <v>33</v>
      </c>
      <c r="I7">
        <f t="shared" si="3"/>
        <v>4545.454545454546</v>
      </c>
      <c r="J7">
        <f t="shared" si="0"/>
        <v>484.84848484848408</v>
      </c>
      <c r="K7">
        <f t="shared" si="1"/>
        <v>9.6385542168674547</v>
      </c>
    </row>
    <row r="8" spans="1:11" x14ac:dyDescent="0.25">
      <c r="A8" s="2">
        <v>44469</v>
      </c>
      <c r="B8" s="3" t="s">
        <v>113</v>
      </c>
      <c r="C8" s="11">
        <v>139</v>
      </c>
      <c r="D8" s="8">
        <v>33</v>
      </c>
      <c r="E8">
        <f t="shared" si="2"/>
        <v>4212.121212121212</v>
      </c>
      <c r="G8">
        <v>134</v>
      </c>
      <c r="H8">
        <v>33</v>
      </c>
      <c r="I8">
        <f t="shared" si="3"/>
        <v>4060.6060606060605</v>
      </c>
      <c r="J8">
        <f t="shared" si="0"/>
        <v>151.5151515151515</v>
      </c>
      <c r="K8">
        <f t="shared" si="1"/>
        <v>3.5971223021582732</v>
      </c>
    </row>
    <row r="9" spans="1:11" x14ac:dyDescent="0.25">
      <c r="A9" s="2">
        <v>44469</v>
      </c>
      <c r="B9" s="3" t="s">
        <v>115</v>
      </c>
      <c r="C9" s="11">
        <v>143</v>
      </c>
      <c r="D9" s="8">
        <v>33</v>
      </c>
      <c r="E9">
        <f t="shared" si="2"/>
        <v>4333.333333333333</v>
      </c>
      <c r="G9">
        <v>150</v>
      </c>
      <c r="H9">
        <v>33</v>
      </c>
      <c r="I9">
        <f t="shared" si="3"/>
        <v>4545.454545454546</v>
      </c>
      <c r="J9">
        <f t="shared" si="0"/>
        <v>-212.12121212121292</v>
      </c>
      <c r="K9">
        <f t="shared" si="1"/>
        <v>-4.8951048951049136</v>
      </c>
    </row>
    <row r="10" spans="1:11" x14ac:dyDescent="0.25">
      <c r="A10" s="2">
        <v>44469</v>
      </c>
      <c r="B10" s="3" t="s">
        <v>114</v>
      </c>
      <c r="C10" s="11">
        <v>163</v>
      </c>
      <c r="D10" s="8">
        <v>33</v>
      </c>
      <c r="E10">
        <f t="shared" si="2"/>
        <v>4939.393939393939</v>
      </c>
      <c r="G10">
        <v>106</v>
      </c>
      <c r="H10">
        <v>33</v>
      </c>
      <c r="I10">
        <f t="shared" si="3"/>
        <v>3212.121212121212</v>
      </c>
      <c r="J10">
        <f t="shared" si="0"/>
        <v>1727.272727272727</v>
      </c>
      <c r="K10">
        <f t="shared" si="1"/>
        <v>34.969325153374228</v>
      </c>
    </row>
    <row r="11" spans="1:11" x14ac:dyDescent="0.25">
      <c r="A11" s="2">
        <v>44469</v>
      </c>
      <c r="B11" s="3" t="s">
        <v>112</v>
      </c>
      <c r="C11" s="11">
        <v>164</v>
      </c>
      <c r="D11" s="8">
        <v>33</v>
      </c>
      <c r="E11">
        <f t="shared" si="2"/>
        <v>4969.69696969697</v>
      </c>
      <c r="G11" s="10">
        <v>144</v>
      </c>
      <c r="H11">
        <v>33</v>
      </c>
      <c r="I11">
        <f t="shared" si="3"/>
        <v>4363.6363636363631</v>
      </c>
      <c r="J11">
        <f t="shared" si="0"/>
        <v>606.06060606060691</v>
      </c>
      <c r="K11">
        <f t="shared" si="1"/>
        <v>12.195121951219528</v>
      </c>
    </row>
    <row r="12" spans="1:11" x14ac:dyDescent="0.25">
      <c r="A12" s="2">
        <v>44469</v>
      </c>
      <c r="B12" s="3" t="s">
        <v>120</v>
      </c>
      <c r="C12" s="11">
        <v>148</v>
      </c>
      <c r="D12" s="8">
        <v>33</v>
      </c>
      <c r="E12">
        <f>+C12/D12*1000</f>
        <v>4484.8484848484841</v>
      </c>
      <c r="G12">
        <v>179</v>
      </c>
      <c r="H12">
        <v>33</v>
      </c>
      <c r="I12">
        <f t="shared" si="3"/>
        <v>5424.242424242424</v>
      </c>
      <c r="J12">
        <f>+E12-I12</f>
        <v>-939.39393939393995</v>
      </c>
      <c r="K12">
        <f t="shared" si="1"/>
        <v>-20.945945945945962</v>
      </c>
    </row>
    <row r="13" spans="1:11" x14ac:dyDescent="0.25">
      <c r="A13" s="2"/>
    </row>
    <row r="14" spans="1:11" x14ac:dyDescent="0.25">
      <c r="A14" s="2"/>
    </row>
    <row r="15" spans="1:11" x14ac:dyDescent="0.25">
      <c r="A15" s="2">
        <v>44469</v>
      </c>
      <c r="B15" s="3" t="s">
        <v>118</v>
      </c>
      <c r="C15">
        <v>83</v>
      </c>
      <c r="D15" s="8">
        <v>33</v>
      </c>
      <c r="E15">
        <f t="shared" ref="E15" si="4">+C15/D15*1000</f>
        <v>2515.151515151515</v>
      </c>
      <c r="G15">
        <v>98</v>
      </c>
      <c r="H15">
        <v>33</v>
      </c>
      <c r="I15">
        <f>+G15/H15*1000</f>
        <v>2969.6969696969695</v>
      </c>
      <c r="J15">
        <f>+E15-I15</f>
        <v>-454.5454545454545</v>
      </c>
      <c r="K15">
        <f t="shared" ref="K15:K22" si="5">+J15/E15*100</f>
        <v>-18.072289156626507</v>
      </c>
    </row>
    <row r="16" spans="1:11" x14ac:dyDescent="0.25">
      <c r="A16" s="2">
        <v>44469</v>
      </c>
      <c r="B16" s="3" t="s">
        <v>119</v>
      </c>
      <c r="C16" s="13">
        <v>84</v>
      </c>
      <c r="D16" s="8">
        <v>33</v>
      </c>
      <c r="E16">
        <f>+C16/D16*1000</f>
        <v>2545.4545454545455</v>
      </c>
      <c r="G16">
        <v>91</v>
      </c>
      <c r="H16">
        <v>33</v>
      </c>
      <c r="I16">
        <f>+G16/H16*1000</f>
        <v>2757.575757575758</v>
      </c>
      <c r="J16">
        <f>+E16-I16</f>
        <v>-212.12121212121247</v>
      </c>
      <c r="K16">
        <f t="shared" si="5"/>
        <v>-8.3333333333333464</v>
      </c>
    </row>
    <row r="17" spans="1:17" x14ac:dyDescent="0.25">
      <c r="A17" s="2">
        <v>44469</v>
      </c>
      <c r="B17" s="3" t="s">
        <v>116</v>
      </c>
      <c r="C17">
        <v>95</v>
      </c>
      <c r="D17" s="8">
        <v>33</v>
      </c>
      <c r="E17">
        <f>+C17/D17*1000</f>
        <v>2878.787878787879</v>
      </c>
      <c r="G17">
        <v>85</v>
      </c>
      <c r="H17">
        <v>33</v>
      </c>
      <c r="I17">
        <f t="shared" ref="I17:I22" si="6">+G17/H17*1000</f>
        <v>2575.7575757575755</v>
      </c>
      <c r="J17">
        <f t="shared" ref="J17:J22" si="7">+E17-I17</f>
        <v>303.03030303030346</v>
      </c>
      <c r="K17">
        <f t="shared" si="5"/>
        <v>10.526315789473699</v>
      </c>
    </row>
    <row r="18" spans="1:17" x14ac:dyDescent="0.25">
      <c r="A18" s="2">
        <v>44469</v>
      </c>
      <c r="B18" s="3" t="s">
        <v>117</v>
      </c>
      <c r="C18">
        <v>91</v>
      </c>
      <c r="D18" s="8">
        <v>33</v>
      </c>
      <c r="E18">
        <f>+C18/D18*1000</f>
        <v>2757.575757575758</v>
      </c>
      <c r="G18">
        <v>85</v>
      </c>
      <c r="H18">
        <v>33</v>
      </c>
      <c r="I18">
        <f>+G18/H18*1000</f>
        <v>2575.7575757575755</v>
      </c>
      <c r="J18">
        <f t="shared" si="7"/>
        <v>181.81818181818244</v>
      </c>
      <c r="K18">
        <f t="shared" si="5"/>
        <v>6.5934065934066144</v>
      </c>
    </row>
    <row r="19" spans="1:17" x14ac:dyDescent="0.25">
      <c r="A19" s="2">
        <v>44469</v>
      </c>
      <c r="B19" s="3" t="s">
        <v>113</v>
      </c>
      <c r="C19">
        <v>72</v>
      </c>
      <c r="D19" s="8">
        <v>33</v>
      </c>
      <c r="E19">
        <f t="shared" ref="E19:E22" si="8">+C19/D19*1000</f>
        <v>2181.8181818181815</v>
      </c>
      <c r="G19">
        <v>78</v>
      </c>
      <c r="H19">
        <v>33</v>
      </c>
      <c r="I19">
        <f t="shared" si="6"/>
        <v>2363.636363636364</v>
      </c>
      <c r="J19">
        <f t="shared" si="7"/>
        <v>-181.81818181818244</v>
      </c>
      <c r="K19">
        <f t="shared" si="5"/>
        <v>-8.3333333333333641</v>
      </c>
    </row>
    <row r="20" spans="1:17" x14ac:dyDescent="0.25">
      <c r="A20" s="2">
        <v>44469</v>
      </c>
      <c r="B20" s="3" t="s">
        <v>115</v>
      </c>
      <c r="C20">
        <v>73</v>
      </c>
      <c r="D20" s="8">
        <v>33</v>
      </c>
      <c r="E20">
        <f t="shared" si="8"/>
        <v>2212.121212121212</v>
      </c>
      <c r="G20">
        <v>75</v>
      </c>
      <c r="H20">
        <v>33</v>
      </c>
      <c r="I20">
        <f t="shared" si="6"/>
        <v>2272.727272727273</v>
      </c>
      <c r="J20">
        <f t="shared" si="7"/>
        <v>-60.606060606060964</v>
      </c>
      <c r="K20">
        <f t="shared" si="5"/>
        <v>-2.7397260273972766</v>
      </c>
    </row>
    <row r="21" spans="1:17" x14ac:dyDescent="0.25">
      <c r="A21" s="2">
        <v>44469</v>
      </c>
      <c r="B21" s="3" t="s">
        <v>114</v>
      </c>
      <c r="C21" s="12">
        <v>382</v>
      </c>
      <c r="D21" s="8">
        <v>33</v>
      </c>
      <c r="E21">
        <f t="shared" si="8"/>
        <v>11575.757575757576</v>
      </c>
      <c r="G21">
        <v>65</v>
      </c>
      <c r="H21">
        <v>33</v>
      </c>
      <c r="I21">
        <f t="shared" si="6"/>
        <v>1969.6969696969697</v>
      </c>
      <c r="J21">
        <f t="shared" si="7"/>
        <v>9606.060606060606</v>
      </c>
      <c r="K21">
        <f t="shared" si="5"/>
        <v>82.984293193717278</v>
      </c>
    </row>
    <row r="22" spans="1:17" x14ac:dyDescent="0.25">
      <c r="A22" s="2">
        <v>44469</v>
      </c>
      <c r="B22" s="3" t="s">
        <v>112</v>
      </c>
      <c r="C22">
        <v>70</v>
      </c>
      <c r="D22" s="8">
        <v>33</v>
      </c>
      <c r="E22">
        <f t="shared" si="8"/>
        <v>2121.212121212121</v>
      </c>
      <c r="G22">
        <v>67</v>
      </c>
      <c r="H22">
        <v>33</v>
      </c>
      <c r="I22">
        <f t="shared" si="6"/>
        <v>2030.3030303030303</v>
      </c>
      <c r="J22">
        <f t="shared" si="7"/>
        <v>90.909090909090764</v>
      </c>
      <c r="K22">
        <f t="shared" si="5"/>
        <v>4.2857142857142794</v>
      </c>
    </row>
    <row r="23" spans="1:17" x14ac:dyDescent="0.25">
      <c r="A23" s="2"/>
    </row>
    <row r="24" spans="1:17" x14ac:dyDescent="0.25">
      <c r="A24" s="2">
        <v>44469</v>
      </c>
      <c r="B24" s="8" t="s">
        <v>109</v>
      </c>
      <c r="C24">
        <v>35084</v>
      </c>
      <c r="D24" s="8">
        <v>33</v>
      </c>
      <c r="E24">
        <f>+C24/D24*1000</f>
        <v>1063151.5151515151</v>
      </c>
    </row>
    <row r="25" spans="1:17" x14ac:dyDescent="0.25">
      <c r="B25" s="8" t="s">
        <v>145</v>
      </c>
      <c r="G25" s="2" t="s">
        <v>146</v>
      </c>
    </row>
    <row r="26" spans="1:17" x14ac:dyDescent="0.25">
      <c r="A26" s="2"/>
      <c r="B26" s="8" t="s">
        <v>147</v>
      </c>
      <c r="C26">
        <v>271</v>
      </c>
      <c r="D26" s="8">
        <v>33</v>
      </c>
      <c r="E26">
        <f t="shared" ref="E26:E36" si="9">+C26/D26*1000</f>
        <v>8212.121212121212</v>
      </c>
      <c r="G26" t="s">
        <v>144</v>
      </c>
    </row>
    <row r="27" spans="1:17" x14ac:dyDescent="0.25">
      <c r="B27" s="8" t="s">
        <v>148</v>
      </c>
      <c r="C27">
        <v>246</v>
      </c>
      <c r="D27" s="8">
        <v>33</v>
      </c>
      <c r="E27">
        <f t="shared" si="9"/>
        <v>7454.545454545454</v>
      </c>
    </row>
    <row r="28" spans="1:17" x14ac:dyDescent="0.25">
      <c r="B28" s="8" t="s">
        <v>149</v>
      </c>
      <c r="C28" s="13">
        <v>219</v>
      </c>
      <c r="D28" s="8">
        <v>33</v>
      </c>
      <c r="E28">
        <f t="shared" si="9"/>
        <v>6636.3636363636369</v>
      </c>
      <c r="I28" s="11"/>
      <c r="J28" s="11"/>
      <c r="K28" s="11"/>
      <c r="L28" s="11"/>
      <c r="M28" s="11"/>
      <c r="N28" s="11"/>
      <c r="O28" s="11"/>
      <c r="P28" s="11"/>
      <c r="Q28" s="11"/>
    </row>
    <row r="29" spans="1:17" x14ac:dyDescent="0.25">
      <c r="B29" s="8" t="s">
        <v>150</v>
      </c>
      <c r="C29" s="12">
        <v>259</v>
      </c>
      <c r="D29" s="8">
        <v>33</v>
      </c>
      <c r="E29">
        <f t="shared" si="9"/>
        <v>7848.484848484849</v>
      </c>
    </row>
    <row r="30" spans="1:17" x14ac:dyDescent="0.25">
      <c r="B30" s="8" t="s">
        <v>152</v>
      </c>
      <c r="C30" s="12">
        <v>215</v>
      </c>
      <c r="D30" s="8">
        <v>33</v>
      </c>
      <c r="E30">
        <f t="shared" si="9"/>
        <v>6515.1515151515159</v>
      </c>
    </row>
    <row r="31" spans="1:17" x14ac:dyDescent="0.25">
      <c r="B31" s="8" t="s">
        <v>153</v>
      </c>
      <c r="C31" s="12">
        <v>164</v>
      </c>
      <c r="D31" s="8">
        <v>33</v>
      </c>
      <c r="E31">
        <f t="shared" si="9"/>
        <v>4969.69696969697</v>
      </c>
    </row>
    <row r="32" spans="1:17" x14ac:dyDescent="0.25">
      <c r="B32" s="8" t="s">
        <v>154</v>
      </c>
      <c r="C32" s="12">
        <v>104</v>
      </c>
      <c r="D32" s="8">
        <v>33</v>
      </c>
      <c r="E32">
        <f t="shared" si="9"/>
        <v>3151.5151515151515</v>
      </c>
    </row>
    <row r="33" spans="1:17" x14ac:dyDescent="0.25">
      <c r="B33" s="8" t="s">
        <v>151</v>
      </c>
      <c r="C33" s="12">
        <v>286</v>
      </c>
      <c r="D33" s="8">
        <v>33</v>
      </c>
      <c r="E33">
        <f t="shared" si="9"/>
        <v>8666.6666666666661</v>
      </c>
      <c r="H33">
        <f>AVERAGE(E15:E20,E22)</f>
        <v>2458.8744588744589</v>
      </c>
    </row>
    <row r="34" spans="1:17" x14ac:dyDescent="0.25">
      <c r="B34" s="8" t="s">
        <v>155</v>
      </c>
      <c r="C34" s="12">
        <v>168</v>
      </c>
      <c r="D34" s="8">
        <v>33</v>
      </c>
      <c r="E34">
        <f t="shared" si="9"/>
        <v>5090.909090909091</v>
      </c>
    </row>
    <row r="35" spans="1:17" x14ac:dyDescent="0.25">
      <c r="B35" s="8" t="s">
        <v>156</v>
      </c>
      <c r="C35" s="12">
        <v>76</v>
      </c>
      <c r="D35" s="8">
        <v>33</v>
      </c>
      <c r="E35">
        <f t="shared" si="9"/>
        <v>2303.030303030303</v>
      </c>
    </row>
    <row r="36" spans="1:17" x14ac:dyDescent="0.25">
      <c r="B36" s="8" t="s">
        <v>156</v>
      </c>
      <c r="C36" s="12">
        <v>89</v>
      </c>
      <c r="D36" s="8">
        <v>33</v>
      </c>
      <c r="E36">
        <f t="shared" si="9"/>
        <v>2696.969696969697</v>
      </c>
    </row>
    <row r="37" spans="1:17" x14ac:dyDescent="0.25">
      <c r="B37" s="8"/>
      <c r="C37" s="12"/>
    </row>
    <row r="38" spans="1:17" x14ac:dyDescent="0.25">
      <c r="E38">
        <f>AVERAGE(E4:E12)</f>
        <v>4602.6936026936019</v>
      </c>
      <c r="I38" s="11"/>
      <c r="J38" s="11"/>
      <c r="K38" s="11"/>
      <c r="L38" s="11"/>
      <c r="M38" s="11"/>
      <c r="N38" s="11"/>
      <c r="O38" s="11"/>
      <c r="P38" s="11"/>
      <c r="Q38" s="11"/>
    </row>
    <row r="39" spans="1:17" x14ac:dyDescent="0.25">
      <c r="A39" s="6"/>
      <c r="E39">
        <f>AVERAGE(E15:E22)</f>
        <v>3598.484848484848</v>
      </c>
      <c r="I39" s="11"/>
      <c r="J39" s="11"/>
      <c r="K39" s="11"/>
      <c r="L39" s="11"/>
      <c r="M39" s="11"/>
      <c r="N39" s="11"/>
      <c r="O39" s="11"/>
      <c r="P39" s="11"/>
      <c r="Q39" s="11"/>
    </row>
    <row r="40" spans="1:17" x14ac:dyDescent="0.25">
      <c r="E40">
        <f>+(E39-E38)/E38</f>
        <v>-0.21817849305047546</v>
      </c>
      <c r="I40" s="11"/>
      <c r="J40" s="11"/>
      <c r="K40" s="11"/>
      <c r="L40" s="11"/>
      <c r="M40" s="11"/>
      <c r="N40" s="11"/>
      <c r="O40" s="11"/>
      <c r="P40" s="11"/>
      <c r="Q40" s="11"/>
    </row>
    <row r="41" spans="1:17" x14ac:dyDescent="0.25">
      <c r="A41" t="s">
        <v>128</v>
      </c>
    </row>
    <row r="42" spans="1:17" x14ac:dyDescent="0.25">
      <c r="C42" t="s">
        <v>0</v>
      </c>
      <c r="D42" s="8" t="s">
        <v>1</v>
      </c>
      <c r="E42" t="s">
        <v>3</v>
      </c>
      <c r="F42" s="6"/>
      <c r="H42" t="s">
        <v>132</v>
      </c>
    </row>
    <row r="43" spans="1:17" x14ac:dyDescent="0.25">
      <c r="H43" t="e">
        <f>(E44-E43)/E44*100</f>
        <v>#DIV/0!</v>
      </c>
    </row>
    <row r="46" spans="1:17" x14ac:dyDescent="0.25">
      <c r="A46" t="s">
        <v>133</v>
      </c>
    </row>
    <row r="48" spans="1:17" x14ac:dyDescent="0.25">
      <c r="D48" s="8">
        <v>33</v>
      </c>
      <c r="E48">
        <f>+C48/D48*1000</f>
        <v>0</v>
      </c>
    </row>
    <row r="51" spans="4:4" x14ac:dyDescent="0.25">
      <c r="D51" s="8">
        <f>40000*20</f>
        <v>800000</v>
      </c>
    </row>
    <row r="52" spans="4:4" x14ac:dyDescent="0.25">
      <c r="D52" s="8" t="e">
        <f>+D51/E48</f>
        <v>#DIV/0!</v>
      </c>
    </row>
    <row r="73" spans="1:17" s="3" customFormat="1" x14ac:dyDescent="0.25">
      <c r="A73" s="6"/>
      <c r="C73"/>
      <c r="D73" s="8"/>
      <c r="E73"/>
      <c r="F73"/>
      <c r="G73"/>
      <c r="H73"/>
      <c r="I73"/>
      <c r="J73"/>
      <c r="K73"/>
      <c r="L73"/>
      <c r="M73"/>
      <c r="N73"/>
      <c r="O73"/>
      <c r="P73"/>
      <c r="Q73"/>
    </row>
    <row r="79" spans="1:17" s="3" customFormat="1" x14ac:dyDescent="0.25">
      <c r="A79" s="6"/>
      <c r="C79"/>
      <c r="D79" s="8"/>
      <c r="E79"/>
      <c r="F79"/>
      <c r="G79"/>
      <c r="H79"/>
      <c r="I79"/>
      <c r="J79"/>
      <c r="K79"/>
      <c r="L79"/>
      <c r="M79"/>
      <c r="N79"/>
      <c r="O79"/>
      <c r="P79"/>
      <c r="Q7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G33" sqref="G33"/>
    </sheetView>
  </sheetViews>
  <sheetFormatPr defaultRowHeight="15" x14ac:dyDescent="0.25"/>
  <cols>
    <col min="2" max="2" width="19.85546875" customWidth="1"/>
  </cols>
  <sheetData>
    <row r="1" spans="1:11" x14ac:dyDescent="0.25">
      <c r="B1" s="3"/>
      <c r="C1" t="s">
        <v>4</v>
      </c>
      <c r="D1" s="8"/>
      <c r="F1" s="4"/>
      <c r="G1" t="s">
        <v>4</v>
      </c>
      <c r="K1" s="2"/>
    </row>
    <row r="2" spans="1:11" x14ac:dyDescent="0.25">
      <c r="A2" s="5"/>
      <c r="B2" s="3"/>
      <c r="C2" t="s">
        <v>5</v>
      </c>
      <c r="D2" s="8"/>
      <c r="F2" s="5"/>
      <c r="G2" t="s">
        <v>5</v>
      </c>
      <c r="J2" t="s">
        <v>9</v>
      </c>
      <c r="K2" t="s">
        <v>60</v>
      </c>
    </row>
    <row r="3" spans="1:11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H3" t="s">
        <v>1</v>
      </c>
      <c r="I3" t="s">
        <v>6</v>
      </c>
      <c r="J3" t="s">
        <v>10</v>
      </c>
      <c r="K3" s="5"/>
    </row>
    <row r="4" spans="1:11" x14ac:dyDescent="0.25">
      <c r="A4" s="2">
        <v>44469</v>
      </c>
      <c r="B4" s="3" t="s">
        <v>118</v>
      </c>
      <c r="C4">
        <v>131</v>
      </c>
      <c r="D4" s="8">
        <v>33</v>
      </c>
      <c r="E4">
        <f>+C4/D4*1000</f>
        <v>3969.6969696969695</v>
      </c>
      <c r="G4">
        <v>126</v>
      </c>
      <c r="H4">
        <v>33</v>
      </c>
      <c r="I4">
        <f>+G4/H4*1000</f>
        <v>3818.1818181818185</v>
      </c>
      <c r="J4">
        <f t="shared" ref="J4:J11" si="0">+E4-I4</f>
        <v>151.51515151515105</v>
      </c>
      <c r="K4">
        <f t="shared" ref="K4:K12" si="1">+J4/E4*100</f>
        <v>3.8167938931297591</v>
      </c>
    </row>
    <row r="5" spans="1:11" x14ac:dyDescent="0.25">
      <c r="A5" s="2">
        <v>44469</v>
      </c>
      <c r="B5" s="3" t="s">
        <v>119</v>
      </c>
      <c r="C5" s="11">
        <v>161</v>
      </c>
      <c r="D5" s="8">
        <v>33</v>
      </c>
      <c r="E5">
        <f t="shared" ref="E5:E11" si="2">+C5/D5*1000</f>
        <v>4878.787878787879</v>
      </c>
      <c r="G5">
        <v>150</v>
      </c>
      <c r="H5">
        <v>33</v>
      </c>
      <c r="I5">
        <f t="shared" ref="I5:I12" si="3">+G5/H5*1000</f>
        <v>4545.454545454546</v>
      </c>
      <c r="J5">
        <f t="shared" si="0"/>
        <v>333.33333333333303</v>
      </c>
      <c r="K5">
        <f t="shared" si="1"/>
        <v>6.8322981366459565</v>
      </c>
    </row>
    <row r="6" spans="1:11" x14ac:dyDescent="0.25">
      <c r="A6" s="2">
        <v>44469</v>
      </c>
      <c r="B6" s="3" t="s">
        <v>116</v>
      </c>
      <c r="C6" s="11">
        <v>184</v>
      </c>
      <c r="D6" s="8">
        <v>33</v>
      </c>
      <c r="E6">
        <f t="shared" si="2"/>
        <v>5575.757575757576</v>
      </c>
      <c r="G6">
        <v>137</v>
      </c>
      <c r="H6">
        <v>33</v>
      </c>
      <c r="I6">
        <f t="shared" si="3"/>
        <v>4151.515151515151</v>
      </c>
      <c r="J6">
        <f t="shared" si="0"/>
        <v>1424.2424242424249</v>
      </c>
      <c r="K6">
        <f t="shared" si="1"/>
        <v>25.543478260869577</v>
      </c>
    </row>
    <row r="7" spans="1:11" x14ac:dyDescent="0.25">
      <c r="A7" s="2">
        <v>44469</v>
      </c>
      <c r="B7" s="3" t="s">
        <v>117</v>
      </c>
      <c r="C7" s="11">
        <v>133</v>
      </c>
      <c r="D7" s="8">
        <v>33</v>
      </c>
      <c r="E7">
        <f t="shared" si="2"/>
        <v>4030.3030303030305</v>
      </c>
      <c r="G7">
        <v>166</v>
      </c>
      <c r="H7">
        <v>33</v>
      </c>
      <c r="I7">
        <f t="shared" si="3"/>
        <v>5030.30303030303</v>
      </c>
      <c r="J7">
        <f t="shared" si="0"/>
        <v>-999.99999999999955</v>
      </c>
      <c r="K7">
        <f t="shared" si="1"/>
        <v>-24.812030075187959</v>
      </c>
    </row>
    <row r="8" spans="1:11" x14ac:dyDescent="0.25">
      <c r="A8" s="2">
        <v>44469</v>
      </c>
      <c r="B8" s="3" t="s">
        <v>113</v>
      </c>
      <c r="C8" s="11">
        <v>126</v>
      </c>
      <c r="D8" s="8">
        <v>33</v>
      </c>
      <c r="E8">
        <f t="shared" si="2"/>
        <v>3818.1818181818185</v>
      </c>
      <c r="G8">
        <v>111</v>
      </c>
      <c r="H8">
        <v>33</v>
      </c>
      <c r="I8">
        <f t="shared" si="3"/>
        <v>3363.636363636364</v>
      </c>
      <c r="J8">
        <f t="shared" si="0"/>
        <v>454.5454545454545</v>
      </c>
      <c r="K8">
        <f t="shared" si="1"/>
        <v>11.904761904761903</v>
      </c>
    </row>
    <row r="9" spans="1:11" x14ac:dyDescent="0.25">
      <c r="A9" s="2">
        <v>44469</v>
      </c>
      <c r="B9" s="3" t="s">
        <v>115</v>
      </c>
      <c r="C9" s="11">
        <v>120</v>
      </c>
      <c r="D9" s="8">
        <v>33</v>
      </c>
      <c r="E9">
        <f t="shared" si="2"/>
        <v>3636.363636363636</v>
      </c>
      <c r="G9">
        <v>118</v>
      </c>
      <c r="H9">
        <v>33</v>
      </c>
      <c r="I9">
        <f t="shared" si="3"/>
        <v>3575.7575757575755</v>
      </c>
      <c r="J9">
        <f t="shared" si="0"/>
        <v>60.60606060606051</v>
      </c>
      <c r="K9">
        <f t="shared" si="1"/>
        <v>1.6666666666666643</v>
      </c>
    </row>
    <row r="10" spans="1:11" x14ac:dyDescent="0.25">
      <c r="A10" s="2">
        <v>44469</v>
      </c>
      <c r="B10" s="3" t="s">
        <v>114</v>
      </c>
      <c r="C10" s="11">
        <v>148</v>
      </c>
      <c r="D10" s="8">
        <v>33</v>
      </c>
      <c r="E10">
        <f t="shared" si="2"/>
        <v>4484.8484848484841</v>
      </c>
      <c r="G10">
        <v>119</v>
      </c>
      <c r="H10">
        <v>33</v>
      </c>
      <c r="I10">
        <f t="shared" si="3"/>
        <v>3606.060606060606</v>
      </c>
      <c r="J10">
        <f t="shared" si="0"/>
        <v>878.78787878787807</v>
      </c>
      <c r="K10">
        <f t="shared" si="1"/>
        <v>19.594594594594582</v>
      </c>
    </row>
    <row r="11" spans="1:11" x14ac:dyDescent="0.25">
      <c r="A11" s="2">
        <v>44469</v>
      </c>
      <c r="B11" s="3" t="s">
        <v>112</v>
      </c>
      <c r="C11" s="11">
        <v>125</v>
      </c>
      <c r="D11" s="8">
        <v>33</v>
      </c>
      <c r="E11">
        <f t="shared" si="2"/>
        <v>3787.878787878788</v>
      </c>
      <c r="G11" s="10">
        <v>122</v>
      </c>
      <c r="H11">
        <v>33</v>
      </c>
      <c r="I11">
        <f t="shared" si="3"/>
        <v>3696.969696969697</v>
      </c>
      <c r="J11">
        <f t="shared" si="0"/>
        <v>90.909090909090992</v>
      </c>
      <c r="K11">
        <f t="shared" si="1"/>
        <v>2.4000000000000021</v>
      </c>
    </row>
    <row r="12" spans="1:11" x14ac:dyDescent="0.25">
      <c r="A12" s="2">
        <v>44469</v>
      </c>
      <c r="B12" s="3" t="s">
        <v>120</v>
      </c>
      <c r="C12" s="11">
        <v>119</v>
      </c>
      <c r="D12" s="8">
        <v>33</v>
      </c>
      <c r="E12">
        <f>+C12/D12*1000</f>
        <v>3606.060606060606</v>
      </c>
      <c r="G12">
        <v>125</v>
      </c>
      <c r="H12">
        <v>33</v>
      </c>
      <c r="I12">
        <f t="shared" si="3"/>
        <v>3787.878787878788</v>
      </c>
      <c r="J12">
        <f>+E12-I12</f>
        <v>-181.81818181818198</v>
      </c>
      <c r="K12">
        <f t="shared" si="1"/>
        <v>-5.0420168067226943</v>
      </c>
    </row>
    <row r="13" spans="1:11" x14ac:dyDescent="0.25">
      <c r="A13" s="2"/>
      <c r="B13" s="3"/>
      <c r="D13" s="8"/>
    </row>
    <row r="14" spans="1:11" x14ac:dyDescent="0.25">
      <c r="A14" s="2"/>
      <c r="B14" s="3"/>
      <c r="D14" s="8"/>
    </row>
    <row r="15" spans="1:11" x14ac:dyDescent="0.25">
      <c r="A15" s="2">
        <v>44469</v>
      </c>
      <c r="B15" s="3" t="s">
        <v>118</v>
      </c>
      <c r="C15">
        <v>103</v>
      </c>
      <c r="D15" s="8">
        <v>33</v>
      </c>
      <c r="E15">
        <f t="shared" ref="E15" si="4">+C15/D15*1000</f>
        <v>3121.212121212121</v>
      </c>
      <c r="G15">
        <v>84</v>
      </c>
      <c r="H15">
        <v>33</v>
      </c>
      <c r="I15">
        <f>+G15/H15*1000</f>
        <v>2545.4545454545455</v>
      </c>
      <c r="J15">
        <f>+E15-I15</f>
        <v>575.75757575757552</v>
      </c>
      <c r="K15">
        <f t="shared" ref="K15:K22" si="5">+J15/E15*100</f>
        <v>18.446601941747566</v>
      </c>
    </row>
    <row r="16" spans="1:11" x14ac:dyDescent="0.25">
      <c r="A16" s="2">
        <v>44469</v>
      </c>
      <c r="B16" s="3" t="s">
        <v>119</v>
      </c>
      <c r="C16" s="13">
        <v>90</v>
      </c>
      <c r="D16" s="8">
        <v>33</v>
      </c>
      <c r="E16">
        <f>+C16/D16*1000</f>
        <v>2727.272727272727</v>
      </c>
      <c r="G16">
        <v>112</v>
      </c>
      <c r="H16">
        <v>33</v>
      </c>
      <c r="I16">
        <f>+G16/H16*1000</f>
        <v>3393.939393939394</v>
      </c>
      <c r="J16">
        <f>+E16-I16</f>
        <v>-666.66666666666697</v>
      </c>
      <c r="K16">
        <f t="shared" si="5"/>
        <v>-24.444444444444457</v>
      </c>
    </row>
    <row r="17" spans="1:15" x14ac:dyDescent="0.25">
      <c r="A17" s="2">
        <v>44469</v>
      </c>
      <c r="B17" s="3" t="s">
        <v>116</v>
      </c>
      <c r="C17">
        <v>103</v>
      </c>
      <c r="D17" s="8">
        <v>33</v>
      </c>
      <c r="E17">
        <f>+C17/D17*1000</f>
        <v>3121.212121212121</v>
      </c>
      <c r="G17">
        <v>116</v>
      </c>
      <c r="H17">
        <v>33</v>
      </c>
      <c r="I17">
        <f t="shared" ref="I17:I22" si="6">+G17/H17*1000</f>
        <v>3515.151515151515</v>
      </c>
      <c r="J17">
        <f t="shared" ref="J17:J22" si="7">+E17-I17</f>
        <v>-393.93939393939399</v>
      </c>
      <c r="K17">
        <f t="shared" si="5"/>
        <v>-12.621359223300974</v>
      </c>
    </row>
    <row r="18" spans="1:15" x14ac:dyDescent="0.25">
      <c r="A18" s="2">
        <v>44469</v>
      </c>
      <c r="B18" s="3" t="s">
        <v>117</v>
      </c>
      <c r="C18">
        <v>96</v>
      </c>
      <c r="D18" s="8">
        <v>33</v>
      </c>
      <c r="E18">
        <f>+C18/D18*1000</f>
        <v>2909.090909090909</v>
      </c>
      <c r="G18">
        <v>96</v>
      </c>
      <c r="H18">
        <v>33</v>
      </c>
      <c r="I18">
        <f>+G18/H18*1000</f>
        <v>2909.090909090909</v>
      </c>
      <c r="J18">
        <f t="shared" si="7"/>
        <v>0</v>
      </c>
      <c r="K18">
        <f t="shared" si="5"/>
        <v>0</v>
      </c>
    </row>
    <row r="19" spans="1:15" x14ac:dyDescent="0.25">
      <c r="A19" s="2">
        <v>44469</v>
      </c>
      <c r="B19" s="3" t="s">
        <v>113</v>
      </c>
      <c r="C19">
        <v>66</v>
      </c>
      <c r="D19" s="8">
        <v>33</v>
      </c>
      <c r="E19">
        <f t="shared" ref="E19:E22" si="8">+C19/D19*1000</f>
        <v>2000</v>
      </c>
      <c r="G19">
        <v>87</v>
      </c>
      <c r="H19">
        <v>33</v>
      </c>
      <c r="I19">
        <f t="shared" si="6"/>
        <v>2636.363636363636</v>
      </c>
      <c r="J19">
        <f t="shared" si="7"/>
        <v>-636.36363636363603</v>
      </c>
      <c r="K19">
        <f t="shared" si="5"/>
        <v>-31.818181818181802</v>
      </c>
    </row>
    <row r="20" spans="1:15" x14ac:dyDescent="0.25">
      <c r="A20" s="2">
        <v>44469</v>
      </c>
      <c r="B20" s="3" t="s">
        <v>115</v>
      </c>
      <c r="C20">
        <v>74</v>
      </c>
      <c r="D20" s="8">
        <v>33</v>
      </c>
      <c r="E20">
        <f t="shared" si="8"/>
        <v>2242.424242424242</v>
      </c>
      <c r="G20">
        <v>73</v>
      </c>
      <c r="H20">
        <v>33</v>
      </c>
      <c r="I20">
        <f t="shared" si="6"/>
        <v>2212.121212121212</v>
      </c>
      <c r="J20">
        <f t="shared" si="7"/>
        <v>30.303030303030027</v>
      </c>
      <c r="K20">
        <f t="shared" si="5"/>
        <v>1.3513513513513393</v>
      </c>
    </row>
    <row r="21" spans="1:15" x14ac:dyDescent="0.25">
      <c r="A21" s="2">
        <v>44469</v>
      </c>
      <c r="B21" s="3" t="s">
        <v>114</v>
      </c>
      <c r="C21" s="12">
        <v>75</v>
      </c>
      <c r="D21" s="8">
        <v>33</v>
      </c>
      <c r="E21">
        <f t="shared" si="8"/>
        <v>2272.727272727273</v>
      </c>
      <c r="G21">
        <v>74</v>
      </c>
      <c r="H21">
        <v>33</v>
      </c>
      <c r="I21">
        <f t="shared" si="6"/>
        <v>2242.424242424242</v>
      </c>
      <c r="J21">
        <f t="shared" si="7"/>
        <v>30.303030303030937</v>
      </c>
      <c r="K21">
        <f t="shared" si="5"/>
        <v>1.333333333333361</v>
      </c>
    </row>
    <row r="22" spans="1:15" x14ac:dyDescent="0.25">
      <c r="A22" s="2">
        <v>44469</v>
      </c>
      <c r="B22" s="3" t="s">
        <v>112</v>
      </c>
      <c r="C22">
        <v>68</v>
      </c>
      <c r="D22" s="8">
        <v>33</v>
      </c>
      <c r="E22">
        <f t="shared" si="8"/>
        <v>2060.6060606060605</v>
      </c>
      <c r="G22">
        <v>66</v>
      </c>
      <c r="H22">
        <v>33</v>
      </c>
      <c r="I22">
        <f t="shared" si="6"/>
        <v>2000</v>
      </c>
      <c r="J22">
        <f t="shared" si="7"/>
        <v>60.60606060606051</v>
      </c>
      <c r="K22">
        <f t="shared" si="5"/>
        <v>2.9411764705882306</v>
      </c>
    </row>
    <row r="23" spans="1:15" x14ac:dyDescent="0.25">
      <c r="A23" s="2"/>
      <c r="B23" s="3"/>
      <c r="D23" s="8"/>
    </row>
    <row r="24" spans="1:15" x14ac:dyDescent="0.25">
      <c r="A24" s="2">
        <v>44469</v>
      </c>
      <c r="B24" s="8" t="s">
        <v>109</v>
      </c>
      <c r="C24">
        <v>32768</v>
      </c>
      <c r="D24" s="8">
        <v>33</v>
      </c>
      <c r="E24">
        <f>+C24/D24*1000</f>
        <v>992969.69696969702</v>
      </c>
    </row>
    <row r="25" spans="1:15" x14ac:dyDescent="0.25">
      <c r="B25" s="8" t="s">
        <v>145</v>
      </c>
      <c r="D25" s="8"/>
      <c r="G25" s="2" t="s">
        <v>146</v>
      </c>
    </row>
    <row r="26" spans="1:15" x14ac:dyDescent="0.25">
      <c r="A26" s="2"/>
      <c r="B26" s="8" t="s">
        <v>147</v>
      </c>
      <c r="D26" s="8">
        <v>33</v>
      </c>
      <c r="E26">
        <f>+C26/D26*1000</f>
        <v>0</v>
      </c>
      <c r="G26" t="s">
        <v>144</v>
      </c>
    </row>
    <row r="27" spans="1:15" x14ac:dyDescent="0.25">
      <c r="B27" s="8" t="s">
        <v>148</v>
      </c>
      <c r="D27" s="8">
        <v>33</v>
      </c>
      <c r="E27">
        <f>+C27/D27*1000</f>
        <v>0</v>
      </c>
    </row>
    <row r="28" spans="1:15" x14ac:dyDescent="0.25">
      <c r="B28" s="8" t="s">
        <v>149</v>
      </c>
      <c r="C28" s="13">
        <v>235</v>
      </c>
      <c r="D28" s="8">
        <v>33</v>
      </c>
      <c r="E28">
        <f>+C28/D28*1000</f>
        <v>7121.212121212121</v>
      </c>
      <c r="I28" s="11"/>
      <c r="J28" s="11"/>
      <c r="K28" s="11"/>
      <c r="L28" s="11"/>
      <c r="M28" s="11"/>
      <c r="N28" s="11"/>
      <c r="O28" s="11"/>
    </row>
    <row r="29" spans="1:15" x14ac:dyDescent="0.25">
      <c r="B29" s="8" t="s">
        <v>150</v>
      </c>
      <c r="C29" s="12">
        <v>238</v>
      </c>
      <c r="D29" s="8">
        <v>33</v>
      </c>
      <c r="E29">
        <f>+C29/D29*1000</f>
        <v>7212.121212121212</v>
      </c>
    </row>
    <row r="30" spans="1:15" x14ac:dyDescent="0.25">
      <c r="B30" s="8" t="s">
        <v>152</v>
      </c>
      <c r="C30" s="12">
        <v>222</v>
      </c>
      <c r="D30" s="8">
        <v>33</v>
      </c>
      <c r="E30">
        <f>+C30/D30*1000</f>
        <v>6727.2727272727279</v>
      </c>
    </row>
    <row r="31" spans="1:15" x14ac:dyDescent="0.25">
      <c r="B31" s="8"/>
      <c r="C31" s="12"/>
      <c r="D31" s="8"/>
    </row>
    <row r="32" spans="1:15" x14ac:dyDescent="0.25">
      <c r="B32" s="8" t="s">
        <v>155</v>
      </c>
      <c r="C32" s="12">
        <v>184</v>
      </c>
      <c r="D32" s="8">
        <v>33</v>
      </c>
      <c r="E32">
        <f>+C32/D32*1000</f>
        <v>5575.757575757576</v>
      </c>
    </row>
    <row r="33" spans="1:15" x14ac:dyDescent="0.25">
      <c r="B33" s="8" t="s">
        <v>156</v>
      </c>
      <c r="C33" s="12">
        <v>84</v>
      </c>
      <c r="D33" s="8">
        <v>33</v>
      </c>
      <c r="E33">
        <f>+C33/D33*1000</f>
        <v>2545.4545454545455</v>
      </c>
    </row>
    <row r="34" spans="1:15" x14ac:dyDescent="0.25">
      <c r="B34" s="8"/>
      <c r="C34" s="12"/>
      <c r="D34" s="8"/>
    </row>
    <row r="35" spans="1:15" x14ac:dyDescent="0.25">
      <c r="B35" s="8"/>
      <c r="C35" s="12"/>
      <c r="D35" s="8"/>
    </row>
    <row r="36" spans="1:15" x14ac:dyDescent="0.25">
      <c r="B36" s="3"/>
      <c r="D36" s="8"/>
      <c r="E36">
        <f>AVERAGE(E4:E12)</f>
        <v>4198.6531986531991</v>
      </c>
      <c r="I36" s="11"/>
      <c r="J36" s="11"/>
      <c r="K36" s="11"/>
      <c r="L36" s="11"/>
      <c r="M36" s="11"/>
      <c r="N36" s="11"/>
      <c r="O36" s="11"/>
    </row>
    <row r="37" spans="1:15" x14ac:dyDescent="0.25">
      <c r="A37" s="6"/>
      <c r="B37" s="3"/>
      <c r="D37" s="8"/>
      <c r="E37">
        <f>AVERAGE(E15:E22)</f>
        <v>2556.8181818181815</v>
      </c>
      <c r="I37" s="11"/>
      <c r="J37" s="11"/>
      <c r="K37" s="11"/>
      <c r="L37" s="11"/>
      <c r="M37" s="11"/>
      <c r="N37" s="11"/>
      <c r="O37" s="11"/>
    </row>
    <row r="38" spans="1:15" x14ac:dyDescent="0.25">
      <c r="B38" s="3"/>
      <c r="D38" s="8"/>
      <c r="E38">
        <f>+(E37-E36)/E36</f>
        <v>-0.39103849238171623</v>
      </c>
      <c r="I38" s="11"/>
      <c r="J38" s="11"/>
      <c r="K38" s="11"/>
      <c r="L38" s="11"/>
      <c r="M38" s="11"/>
      <c r="N38" s="11"/>
      <c r="O38" s="11"/>
    </row>
    <row r="39" spans="1:15" x14ac:dyDescent="0.25">
      <c r="A39" t="s">
        <v>128</v>
      </c>
      <c r="B39" s="3"/>
      <c r="D39" s="8"/>
    </row>
    <row r="40" spans="1:15" x14ac:dyDescent="0.25">
      <c r="B40" s="3"/>
      <c r="C40" t="s">
        <v>0</v>
      </c>
      <c r="D40" s="8" t="s">
        <v>1</v>
      </c>
      <c r="E40" t="s">
        <v>3</v>
      </c>
      <c r="F40" s="6"/>
      <c r="H40" t="s">
        <v>132</v>
      </c>
    </row>
    <row r="41" spans="1:15" x14ac:dyDescent="0.25">
      <c r="B41" s="3"/>
      <c r="D41" s="8"/>
      <c r="H41" t="e">
        <f>(E42-E41)/E42*100</f>
        <v>#DIV/0!</v>
      </c>
    </row>
    <row r="42" spans="1:15" x14ac:dyDescent="0.25">
      <c r="B42" s="3"/>
      <c r="D42" s="8"/>
    </row>
    <row r="43" spans="1:15" x14ac:dyDescent="0.25">
      <c r="B43" s="3"/>
      <c r="D43" s="8"/>
    </row>
    <row r="44" spans="1:15" x14ac:dyDescent="0.25">
      <c r="A44" t="s">
        <v>133</v>
      </c>
      <c r="B44" s="3"/>
      <c r="D44" s="8"/>
    </row>
    <row r="45" spans="1:15" x14ac:dyDescent="0.25">
      <c r="B45" s="3"/>
      <c r="D45" s="8"/>
    </row>
    <row r="46" spans="1:15" x14ac:dyDescent="0.25">
      <c r="B46" s="3"/>
      <c r="D46" s="8">
        <v>33</v>
      </c>
      <c r="E46">
        <f>+C46/D46*1000</f>
        <v>0</v>
      </c>
    </row>
    <row r="47" spans="1:15" x14ac:dyDescent="0.25">
      <c r="B47" s="3"/>
      <c r="D47" s="8"/>
    </row>
    <row r="48" spans="1:15" x14ac:dyDescent="0.25">
      <c r="B48" s="3"/>
      <c r="D48" s="8"/>
    </row>
    <row r="49" spans="2:4" x14ac:dyDescent="0.25">
      <c r="B49" s="3"/>
      <c r="D49" s="8">
        <f>40000*20</f>
        <v>800000</v>
      </c>
    </row>
    <row r="50" spans="2:4" x14ac:dyDescent="0.25">
      <c r="B50" s="3"/>
      <c r="D50" s="8" t="e">
        <f>+D49/E46</f>
        <v>#DIV/0!</v>
      </c>
    </row>
    <row r="51" spans="2:4" x14ac:dyDescent="0.25">
      <c r="B51" s="3"/>
      <c r="D51" s="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G31" sqref="G31"/>
    </sheetView>
  </sheetViews>
  <sheetFormatPr defaultRowHeight="15" x14ac:dyDescent="0.25"/>
  <cols>
    <col min="2" max="2" width="20.140625" customWidth="1"/>
  </cols>
  <sheetData>
    <row r="1" spans="1:11" x14ac:dyDescent="0.25">
      <c r="B1" s="3"/>
      <c r="C1" t="s">
        <v>4</v>
      </c>
      <c r="D1" s="8"/>
      <c r="F1" s="4"/>
      <c r="G1" t="s">
        <v>4</v>
      </c>
      <c r="K1" s="2"/>
    </row>
    <row r="2" spans="1:11" x14ac:dyDescent="0.25">
      <c r="A2" s="5"/>
      <c r="B2" s="3"/>
      <c r="C2" t="s">
        <v>5</v>
      </c>
      <c r="D2" s="8"/>
      <c r="F2" s="5"/>
      <c r="G2" t="s">
        <v>5</v>
      </c>
      <c r="J2" t="s">
        <v>9</v>
      </c>
      <c r="K2" t="s">
        <v>60</v>
      </c>
    </row>
    <row r="3" spans="1:11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H3" t="s">
        <v>1</v>
      </c>
      <c r="I3" t="s">
        <v>6</v>
      </c>
      <c r="J3" t="s">
        <v>10</v>
      </c>
      <c r="K3" s="5"/>
    </row>
    <row r="4" spans="1:11" x14ac:dyDescent="0.25">
      <c r="A4" s="2">
        <v>44469</v>
      </c>
      <c r="B4" s="3" t="s">
        <v>118</v>
      </c>
      <c r="C4">
        <v>194</v>
      </c>
      <c r="D4" s="8">
        <v>33</v>
      </c>
      <c r="E4">
        <f>+C4/D4*1000</f>
        <v>5878.787878787879</v>
      </c>
      <c r="G4">
        <v>123</v>
      </c>
      <c r="H4">
        <v>33</v>
      </c>
      <c r="I4">
        <f>+G4/H4*1000</f>
        <v>3727.272727272727</v>
      </c>
      <c r="J4">
        <f t="shared" ref="J4:J11" si="0">+E4-I4</f>
        <v>2151.515151515152</v>
      </c>
      <c r="K4">
        <f t="shared" ref="K4:K12" si="1">+J4/E4*100</f>
        <v>36.597938144329909</v>
      </c>
    </row>
    <row r="5" spans="1:11" x14ac:dyDescent="0.25">
      <c r="A5" s="2">
        <v>44469</v>
      </c>
      <c r="B5" s="3" t="s">
        <v>119</v>
      </c>
      <c r="C5" s="11">
        <v>151</v>
      </c>
      <c r="D5" s="8">
        <v>33</v>
      </c>
      <c r="E5">
        <f t="shared" ref="E5:E11" si="2">+C5/D5*1000</f>
        <v>4575.757575757576</v>
      </c>
      <c r="G5">
        <v>100</v>
      </c>
      <c r="H5">
        <v>33</v>
      </c>
      <c r="I5">
        <f t="shared" ref="I5:I12" si="3">+G5/H5*1000</f>
        <v>3030.3030303030305</v>
      </c>
      <c r="J5">
        <f t="shared" si="0"/>
        <v>1545.4545454545455</v>
      </c>
      <c r="K5">
        <f t="shared" si="1"/>
        <v>33.774834437086092</v>
      </c>
    </row>
    <row r="6" spans="1:11" x14ac:dyDescent="0.25">
      <c r="A6" s="2">
        <v>44469</v>
      </c>
      <c r="B6" s="3" t="s">
        <v>116</v>
      </c>
      <c r="C6" s="11">
        <v>127</v>
      </c>
      <c r="D6" s="8">
        <v>33</v>
      </c>
      <c r="E6">
        <f t="shared" si="2"/>
        <v>3848.4848484848485</v>
      </c>
      <c r="G6">
        <v>123</v>
      </c>
      <c r="H6">
        <v>33</v>
      </c>
      <c r="I6">
        <f t="shared" si="3"/>
        <v>3727.272727272727</v>
      </c>
      <c r="J6">
        <f t="shared" si="0"/>
        <v>121.21212121212147</v>
      </c>
      <c r="K6">
        <f t="shared" si="1"/>
        <v>3.1496062992126053</v>
      </c>
    </row>
    <row r="7" spans="1:11" x14ac:dyDescent="0.25">
      <c r="A7" s="2">
        <v>44469</v>
      </c>
      <c r="B7" s="3" t="s">
        <v>117</v>
      </c>
      <c r="C7" s="11">
        <v>111</v>
      </c>
      <c r="D7" s="14">
        <v>33</v>
      </c>
      <c r="E7" s="11">
        <f t="shared" si="2"/>
        <v>3363.636363636364</v>
      </c>
      <c r="F7" s="11"/>
      <c r="G7" s="11">
        <v>136</v>
      </c>
      <c r="H7" s="11">
        <v>33</v>
      </c>
      <c r="I7">
        <f t="shared" si="3"/>
        <v>4121.212121212121</v>
      </c>
      <c r="J7">
        <f t="shared" si="0"/>
        <v>-757.57575757575705</v>
      </c>
      <c r="K7">
        <f t="shared" si="1"/>
        <v>-22.522522522522504</v>
      </c>
    </row>
    <row r="8" spans="1:11" x14ac:dyDescent="0.25">
      <c r="A8" s="2">
        <v>44469</v>
      </c>
      <c r="B8" s="3" t="s">
        <v>113</v>
      </c>
      <c r="C8" s="11">
        <v>67</v>
      </c>
      <c r="D8" s="14">
        <v>33</v>
      </c>
      <c r="E8" s="11">
        <f t="shared" si="2"/>
        <v>2030.3030303030303</v>
      </c>
      <c r="F8" s="11"/>
      <c r="G8" s="11">
        <v>111</v>
      </c>
      <c r="H8" s="11">
        <v>33</v>
      </c>
      <c r="I8">
        <f t="shared" si="3"/>
        <v>3363.636363636364</v>
      </c>
      <c r="J8">
        <f t="shared" si="0"/>
        <v>-1333.3333333333337</v>
      </c>
      <c r="K8">
        <f t="shared" si="1"/>
        <v>-65.671641791044806</v>
      </c>
    </row>
    <row r="9" spans="1:11" x14ac:dyDescent="0.25">
      <c r="A9" s="2">
        <v>44469</v>
      </c>
      <c r="B9" s="3" t="s">
        <v>115</v>
      </c>
      <c r="C9" s="11">
        <v>106</v>
      </c>
      <c r="D9" s="14">
        <v>33</v>
      </c>
      <c r="E9" s="11">
        <f t="shared" si="2"/>
        <v>3212.121212121212</v>
      </c>
      <c r="F9" s="11"/>
      <c r="G9" s="11">
        <v>131</v>
      </c>
      <c r="H9" s="11">
        <v>33</v>
      </c>
      <c r="I9">
        <f t="shared" si="3"/>
        <v>3969.6969696969695</v>
      </c>
      <c r="J9">
        <f t="shared" si="0"/>
        <v>-757.57575757575751</v>
      </c>
      <c r="K9">
        <f t="shared" si="1"/>
        <v>-23.584905660377355</v>
      </c>
    </row>
    <row r="10" spans="1:11" x14ac:dyDescent="0.25">
      <c r="A10" s="2">
        <v>44469</v>
      </c>
      <c r="B10" s="3" t="s">
        <v>114</v>
      </c>
      <c r="C10" s="11">
        <v>261</v>
      </c>
      <c r="D10" s="14">
        <v>33</v>
      </c>
      <c r="E10" s="11">
        <f t="shared" si="2"/>
        <v>7909.090909090909</v>
      </c>
      <c r="F10" s="11"/>
      <c r="G10" s="11">
        <v>85</v>
      </c>
      <c r="H10" s="11">
        <v>33</v>
      </c>
      <c r="I10">
        <f t="shared" si="3"/>
        <v>2575.7575757575755</v>
      </c>
      <c r="J10">
        <f t="shared" si="0"/>
        <v>5333.3333333333339</v>
      </c>
      <c r="K10">
        <f t="shared" si="1"/>
        <v>67.432950191570896</v>
      </c>
    </row>
    <row r="11" spans="1:11" x14ac:dyDescent="0.25">
      <c r="A11" s="2">
        <v>44469</v>
      </c>
      <c r="B11" s="3" t="s">
        <v>112</v>
      </c>
      <c r="C11" s="11">
        <v>100</v>
      </c>
      <c r="D11" s="14">
        <v>33</v>
      </c>
      <c r="E11" s="11">
        <f t="shared" si="2"/>
        <v>3030.3030303030305</v>
      </c>
      <c r="F11" s="11"/>
      <c r="G11" s="11">
        <v>111</v>
      </c>
      <c r="H11" s="11">
        <v>33</v>
      </c>
      <c r="I11">
        <f t="shared" si="3"/>
        <v>3363.636363636364</v>
      </c>
      <c r="J11">
        <f t="shared" si="0"/>
        <v>-333.33333333333348</v>
      </c>
      <c r="K11">
        <f t="shared" si="1"/>
        <v>-11.000000000000004</v>
      </c>
    </row>
    <row r="12" spans="1:11" x14ac:dyDescent="0.25">
      <c r="A12" s="2">
        <v>44469</v>
      </c>
      <c r="B12" s="3" t="s">
        <v>120</v>
      </c>
      <c r="C12" s="11">
        <v>89</v>
      </c>
      <c r="D12" s="14">
        <v>33</v>
      </c>
      <c r="E12" s="11">
        <f>+C12/D12*1000</f>
        <v>2696.969696969697</v>
      </c>
      <c r="F12" s="11"/>
      <c r="G12" s="11">
        <v>98</v>
      </c>
      <c r="H12" s="11">
        <v>33</v>
      </c>
      <c r="I12">
        <f t="shared" si="3"/>
        <v>2969.6969696969695</v>
      </c>
      <c r="J12">
        <f>+E12-I12</f>
        <v>-272.72727272727252</v>
      </c>
      <c r="K12">
        <f t="shared" si="1"/>
        <v>-10.112359550561791</v>
      </c>
    </row>
    <row r="13" spans="1:11" x14ac:dyDescent="0.25">
      <c r="A13" s="2"/>
      <c r="B13" s="3"/>
      <c r="C13" s="11"/>
      <c r="D13" s="14"/>
      <c r="E13" s="11"/>
      <c r="F13" s="11"/>
      <c r="G13" s="11"/>
      <c r="H13" s="11"/>
    </row>
    <row r="14" spans="1:11" x14ac:dyDescent="0.25">
      <c r="A14" s="2"/>
      <c r="B14" s="3"/>
      <c r="C14" s="11"/>
      <c r="D14" s="14"/>
      <c r="E14" s="11"/>
      <c r="F14" s="11"/>
      <c r="G14" s="11"/>
      <c r="H14" s="11"/>
    </row>
    <row r="15" spans="1:11" x14ac:dyDescent="0.25">
      <c r="A15" s="2">
        <v>44469</v>
      </c>
      <c r="B15" s="3" t="s">
        <v>118</v>
      </c>
      <c r="C15" s="11">
        <v>121</v>
      </c>
      <c r="D15" s="14">
        <v>33</v>
      </c>
      <c r="E15" s="11">
        <f t="shared" ref="E15" si="4">+C15/D15*1000</f>
        <v>3666.6666666666665</v>
      </c>
      <c r="F15" s="11"/>
      <c r="G15" s="11">
        <v>112</v>
      </c>
      <c r="H15" s="11">
        <v>33</v>
      </c>
      <c r="I15">
        <f>+G15/H15*1000</f>
        <v>3393.939393939394</v>
      </c>
      <c r="J15">
        <f>+E15-I15</f>
        <v>272.72727272727252</v>
      </c>
      <c r="K15">
        <f t="shared" ref="K15:K22" si="5">+J15/E15*100</f>
        <v>7.4380165289256146</v>
      </c>
    </row>
    <row r="16" spans="1:11" x14ac:dyDescent="0.25">
      <c r="A16" s="2">
        <v>44469</v>
      </c>
      <c r="B16" s="3" t="s">
        <v>119</v>
      </c>
      <c r="C16" s="11">
        <v>89</v>
      </c>
      <c r="D16" s="14">
        <v>33</v>
      </c>
      <c r="E16" s="11">
        <f>+C16/D16*1000</f>
        <v>2696.969696969697</v>
      </c>
      <c r="F16" s="11"/>
      <c r="G16" s="11">
        <v>98</v>
      </c>
      <c r="H16" s="11">
        <v>33</v>
      </c>
      <c r="I16">
        <f>+G16/H16*1000</f>
        <v>2969.6969696969695</v>
      </c>
      <c r="J16">
        <f>+E16-I16</f>
        <v>-272.72727272727252</v>
      </c>
      <c r="K16">
        <f t="shared" si="5"/>
        <v>-10.112359550561791</v>
      </c>
    </row>
    <row r="17" spans="1:15" x14ac:dyDescent="0.25">
      <c r="A17" s="2">
        <v>44469</v>
      </c>
      <c r="B17" s="3" t="s">
        <v>116</v>
      </c>
      <c r="C17" s="11">
        <v>116</v>
      </c>
      <c r="D17" s="14">
        <v>33</v>
      </c>
      <c r="E17" s="11">
        <f>+C17/D17*1000</f>
        <v>3515.151515151515</v>
      </c>
      <c r="F17" s="11"/>
      <c r="G17" s="11">
        <v>107</v>
      </c>
      <c r="H17" s="11">
        <v>33</v>
      </c>
      <c r="I17">
        <f t="shared" ref="I17:I22" si="6">+G17/H17*1000</f>
        <v>3242.424242424242</v>
      </c>
      <c r="J17">
        <f t="shared" ref="J17:J22" si="7">+E17-I17</f>
        <v>272.72727272727298</v>
      </c>
      <c r="K17">
        <f t="shared" si="5"/>
        <v>7.7586206896551797</v>
      </c>
    </row>
    <row r="18" spans="1:15" x14ac:dyDescent="0.25">
      <c r="A18" s="2">
        <v>44469</v>
      </c>
      <c r="B18" s="3" t="s">
        <v>117</v>
      </c>
      <c r="C18" s="11">
        <v>149</v>
      </c>
      <c r="D18" s="14">
        <v>33</v>
      </c>
      <c r="E18" s="11">
        <f>+C18/D18*1000</f>
        <v>4515.1515151515159</v>
      </c>
      <c r="F18" s="11"/>
      <c r="G18" s="11">
        <v>117</v>
      </c>
      <c r="H18" s="11">
        <v>33</v>
      </c>
      <c r="I18">
        <f>+G18/H18*1000</f>
        <v>3545.4545454545455</v>
      </c>
      <c r="J18">
        <f t="shared" si="7"/>
        <v>969.69696969697043</v>
      </c>
      <c r="K18">
        <f t="shared" si="5"/>
        <v>21.476510067114106</v>
      </c>
    </row>
    <row r="19" spans="1:15" x14ac:dyDescent="0.25">
      <c r="A19" s="2">
        <v>44469</v>
      </c>
      <c r="B19" s="3" t="s">
        <v>113</v>
      </c>
      <c r="C19" s="11">
        <v>50</v>
      </c>
      <c r="D19" s="14">
        <v>33</v>
      </c>
      <c r="E19" s="11">
        <f t="shared" ref="E19:E22" si="8">+C19/D19*1000</f>
        <v>1515.1515151515152</v>
      </c>
      <c r="F19" s="11"/>
      <c r="G19" s="11">
        <v>71</v>
      </c>
      <c r="H19" s="11">
        <v>33</v>
      </c>
      <c r="I19">
        <f t="shared" si="6"/>
        <v>2151.5151515151515</v>
      </c>
      <c r="J19">
        <f t="shared" si="7"/>
        <v>-636.36363636363626</v>
      </c>
      <c r="K19">
        <f t="shared" si="5"/>
        <v>-41.999999999999993</v>
      </c>
    </row>
    <row r="20" spans="1:15" x14ac:dyDescent="0.25">
      <c r="A20" s="2">
        <v>44469</v>
      </c>
      <c r="B20" s="3" t="s">
        <v>115</v>
      </c>
      <c r="C20" s="11">
        <v>75</v>
      </c>
      <c r="D20" s="14">
        <v>33</v>
      </c>
      <c r="E20" s="11">
        <f t="shared" si="8"/>
        <v>2272.727272727273</v>
      </c>
      <c r="F20" s="11"/>
      <c r="G20" s="11">
        <v>57</v>
      </c>
      <c r="H20" s="11">
        <v>33</v>
      </c>
      <c r="I20">
        <f t="shared" si="6"/>
        <v>1727.2727272727273</v>
      </c>
      <c r="J20">
        <f t="shared" si="7"/>
        <v>545.45454545454572</v>
      </c>
      <c r="K20">
        <f t="shared" si="5"/>
        <v>24.000000000000011</v>
      </c>
    </row>
    <row r="21" spans="1:15" x14ac:dyDescent="0.25">
      <c r="A21" s="2">
        <v>44469</v>
      </c>
      <c r="B21" s="3" t="s">
        <v>114</v>
      </c>
      <c r="C21" s="11">
        <v>53</v>
      </c>
      <c r="D21" s="14">
        <v>33</v>
      </c>
      <c r="E21" s="11">
        <f t="shared" si="8"/>
        <v>1606.060606060606</v>
      </c>
      <c r="F21" s="11"/>
      <c r="G21" s="11">
        <v>59</v>
      </c>
      <c r="H21" s="11">
        <v>33</v>
      </c>
      <c r="I21">
        <f t="shared" si="6"/>
        <v>1787.8787878787878</v>
      </c>
      <c r="J21">
        <f t="shared" si="7"/>
        <v>-181.81818181818176</v>
      </c>
      <c r="K21">
        <f t="shared" si="5"/>
        <v>-11.320754716981128</v>
      </c>
    </row>
    <row r="22" spans="1:15" x14ac:dyDescent="0.25">
      <c r="A22" s="2">
        <v>44469</v>
      </c>
      <c r="B22" s="3" t="s">
        <v>112</v>
      </c>
      <c r="C22" s="11">
        <v>64</v>
      </c>
      <c r="D22" s="14">
        <v>33</v>
      </c>
      <c r="E22" s="11">
        <f t="shared" si="8"/>
        <v>1939.3939393939395</v>
      </c>
      <c r="F22" s="11"/>
      <c r="G22" s="11">
        <v>75</v>
      </c>
      <c r="H22" s="11">
        <v>33</v>
      </c>
      <c r="I22">
        <f t="shared" si="6"/>
        <v>2272.727272727273</v>
      </c>
      <c r="J22">
        <f t="shared" si="7"/>
        <v>-333.33333333333348</v>
      </c>
      <c r="K22">
        <f t="shared" si="5"/>
        <v>-17.187500000000007</v>
      </c>
    </row>
    <row r="23" spans="1:15" x14ac:dyDescent="0.25">
      <c r="A23" s="2"/>
      <c r="B23" s="3"/>
      <c r="C23" s="11"/>
      <c r="D23" s="14"/>
      <c r="E23" s="11"/>
      <c r="F23" s="11"/>
      <c r="G23" s="11"/>
      <c r="H23" s="11"/>
    </row>
    <row r="24" spans="1:15" x14ac:dyDescent="0.25">
      <c r="A24" s="2">
        <v>44469</v>
      </c>
      <c r="B24" s="8" t="s">
        <v>109</v>
      </c>
      <c r="C24" s="11">
        <v>2737</v>
      </c>
      <c r="D24" s="14">
        <v>33</v>
      </c>
      <c r="E24" s="11">
        <f>+C24/D24*1000</f>
        <v>82939.393939393936</v>
      </c>
      <c r="F24" s="11"/>
      <c r="G24" s="11" t="s">
        <v>159</v>
      </c>
      <c r="H24" s="11"/>
    </row>
    <row r="25" spans="1:15" x14ac:dyDescent="0.25">
      <c r="B25" s="8" t="s">
        <v>145</v>
      </c>
      <c r="C25" s="11"/>
      <c r="D25" s="14"/>
      <c r="E25" s="11"/>
      <c r="F25" s="11"/>
      <c r="G25" s="15"/>
      <c r="H25" s="11"/>
    </row>
    <row r="26" spans="1:15" x14ac:dyDescent="0.25">
      <c r="A26" s="2"/>
      <c r="B26" s="8" t="s">
        <v>149</v>
      </c>
      <c r="C26" s="11">
        <v>254</v>
      </c>
      <c r="D26" s="14">
        <v>33</v>
      </c>
      <c r="E26" s="11">
        <f>+C26/D26*1000</f>
        <v>7696.969696969697</v>
      </c>
      <c r="F26" s="11"/>
      <c r="G26" s="11"/>
      <c r="H26" s="11"/>
    </row>
    <row r="27" spans="1:15" x14ac:dyDescent="0.25">
      <c r="B27" s="8" t="s">
        <v>150</v>
      </c>
      <c r="C27" s="11">
        <v>279</v>
      </c>
      <c r="D27" s="14">
        <v>33</v>
      </c>
      <c r="E27" s="11">
        <f>+C27/D27*1000</f>
        <v>8454.5454545454559</v>
      </c>
      <c r="F27" s="11"/>
      <c r="G27" s="11"/>
      <c r="H27" s="11"/>
    </row>
    <row r="28" spans="1:15" x14ac:dyDescent="0.25">
      <c r="B28" s="8" t="s">
        <v>157</v>
      </c>
      <c r="C28" s="11">
        <v>256</v>
      </c>
      <c r="D28" s="14">
        <v>33</v>
      </c>
      <c r="E28" s="11">
        <f>+C28/D28*1000</f>
        <v>7757.575757575758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B29" s="8" t="s">
        <v>158</v>
      </c>
      <c r="C29" s="11">
        <v>201</v>
      </c>
      <c r="D29" s="14">
        <v>33</v>
      </c>
      <c r="E29" s="11">
        <f>+C29/D29*1000</f>
        <v>6090.909090909091</v>
      </c>
      <c r="F29" s="11"/>
      <c r="G29" s="11"/>
      <c r="H29" s="11"/>
    </row>
    <row r="30" spans="1:15" x14ac:dyDescent="0.25">
      <c r="F30" s="11"/>
      <c r="G30" s="11">
        <f>AVERAGE(E15:E22)</f>
        <v>2715.9090909090914</v>
      </c>
      <c r="H30" s="11"/>
    </row>
    <row r="31" spans="1:15" x14ac:dyDescent="0.25">
      <c r="F31" s="11"/>
      <c r="G31" s="11"/>
      <c r="H31" s="11"/>
    </row>
    <row r="32" spans="1:15" x14ac:dyDescent="0.25">
      <c r="B32" s="8"/>
      <c r="C32" s="11"/>
      <c r="D32" s="14"/>
      <c r="E32" s="11"/>
      <c r="F32" s="11"/>
      <c r="G32" s="11"/>
      <c r="H32" s="11"/>
    </row>
    <row r="33" spans="1:15" x14ac:dyDescent="0.25">
      <c r="B33" s="8"/>
      <c r="C33" s="11"/>
      <c r="D33" s="14"/>
      <c r="E33" s="11"/>
      <c r="F33" s="11"/>
      <c r="G33" s="11"/>
      <c r="H33" s="11"/>
    </row>
    <row r="34" spans="1:15" x14ac:dyDescent="0.25">
      <c r="B34" s="8"/>
      <c r="C34" s="11"/>
      <c r="D34" s="14"/>
      <c r="E34" s="11"/>
      <c r="F34" s="11"/>
      <c r="G34" s="11"/>
      <c r="H34" s="11"/>
    </row>
    <row r="35" spans="1:15" x14ac:dyDescent="0.25">
      <c r="B35" s="8"/>
      <c r="C35" s="11"/>
      <c r="D35" s="14"/>
      <c r="E35" s="11"/>
      <c r="F35" s="11"/>
      <c r="G35" s="11"/>
      <c r="H35" s="11"/>
    </row>
    <row r="36" spans="1:15" x14ac:dyDescent="0.25">
      <c r="B36" s="3"/>
      <c r="D36" s="8"/>
      <c r="E36">
        <f>AVERAGE(E4:E12)</f>
        <v>4060.6060606060605</v>
      </c>
      <c r="I36" s="11"/>
      <c r="J36" s="11"/>
      <c r="K36" s="11"/>
      <c r="L36" s="11"/>
      <c r="M36" s="11"/>
      <c r="N36" s="11"/>
      <c r="O36" s="11"/>
    </row>
    <row r="37" spans="1:15" x14ac:dyDescent="0.25">
      <c r="A37" s="6"/>
      <c r="B37" s="3"/>
      <c r="D37" s="8"/>
      <c r="E37">
        <f>AVERAGE(E15:E22)</f>
        <v>2715.9090909090914</v>
      </c>
      <c r="I37" s="11"/>
      <c r="J37" s="11"/>
      <c r="K37" s="11"/>
      <c r="L37" s="11"/>
      <c r="M37" s="11"/>
      <c r="N37" s="11"/>
      <c r="O37" s="11"/>
    </row>
    <row r="38" spans="1:15" x14ac:dyDescent="0.25">
      <c r="B38" s="3"/>
      <c r="D38" s="8"/>
      <c r="E38">
        <f>+(E37-E36)/E36</f>
        <v>-0.33115671641791028</v>
      </c>
      <c r="I38" s="11"/>
      <c r="J38" s="11"/>
      <c r="K38" s="11"/>
      <c r="L38" s="11"/>
      <c r="M38" s="11"/>
      <c r="N38" s="11"/>
      <c r="O38" s="11"/>
    </row>
    <row r="39" spans="1:15" x14ac:dyDescent="0.25">
      <c r="A39" t="s">
        <v>128</v>
      </c>
      <c r="B39" s="3"/>
      <c r="D39" s="8"/>
    </row>
    <row r="40" spans="1:15" x14ac:dyDescent="0.25">
      <c r="B40" s="3"/>
      <c r="C40" t="s">
        <v>0</v>
      </c>
      <c r="D40" s="8" t="s">
        <v>1</v>
      </c>
      <c r="E40" t="s">
        <v>3</v>
      </c>
      <c r="F40" s="6"/>
      <c r="H40" t="s">
        <v>132</v>
      </c>
    </row>
    <row r="41" spans="1:15" x14ac:dyDescent="0.25">
      <c r="B41" s="3"/>
      <c r="D41" s="8"/>
      <c r="H41" t="e">
        <f>(E42-E41)/E42*100</f>
        <v>#DIV/0!</v>
      </c>
    </row>
    <row r="42" spans="1:15" x14ac:dyDescent="0.25">
      <c r="B42" s="3"/>
      <c r="D42" s="8"/>
    </row>
    <row r="43" spans="1:15" x14ac:dyDescent="0.25">
      <c r="B43" s="3"/>
      <c r="D43" s="8"/>
    </row>
    <row r="44" spans="1:15" x14ac:dyDescent="0.25">
      <c r="A44" t="s">
        <v>133</v>
      </c>
      <c r="B44" s="3"/>
      <c r="D44" s="8"/>
    </row>
    <row r="45" spans="1:15" x14ac:dyDescent="0.25">
      <c r="B45" s="3"/>
      <c r="D45" s="8"/>
    </row>
    <row r="46" spans="1:15" x14ac:dyDescent="0.25">
      <c r="B46" s="3"/>
      <c r="D46" s="8">
        <v>33</v>
      </c>
      <c r="E46">
        <f>+C46/D46*1000</f>
        <v>0</v>
      </c>
    </row>
    <row r="47" spans="1:15" x14ac:dyDescent="0.25">
      <c r="B47" s="3"/>
      <c r="D47" s="8"/>
    </row>
    <row r="48" spans="1:15" x14ac:dyDescent="0.25">
      <c r="B48" s="3"/>
      <c r="D48" s="8"/>
    </row>
    <row r="49" spans="2:4" x14ac:dyDescent="0.25">
      <c r="B49" s="3"/>
      <c r="D49" s="8">
        <f>40000*20</f>
        <v>800000</v>
      </c>
    </row>
    <row r="50" spans="2:4" x14ac:dyDescent="0.25">
      <c r="B50" s="3"/>
      <c r="D50" s="8" t="e">
        <f>+D49/E46</f>
        <v>#DIV/0!</v>
      </c>
    </row>
    <row r="51" spans="2:4" x14ac:dyDescent="0.25">
      <c r="B51" s="3"/>
      <c r="D51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2" workbookViewId="0">
      <selection activeCell="E31" sqref="E31"/>
    </sheetView>
  </sheetViews>
  <sheetFormatPr defaultRowHeight="15" x14ac:dyDescent="0.25"/>
  <cols>
    <col min="2" max="2" width="20.140625" customWidth="1"/>
  </cols>
  <sheetData>
    <row r="1" spans="1:11" x14ac:dyDescent="0.25">
      <c r="B1" s="3"/>
      <c r="C1" t="s">
        <v>4</v>
      </c>
      <c r="D1" s="8"/>
      <c r="F1" s="4"/>
      <c r="G1" t="s">
        <v>4</v>
      </c>
      <c r="K1" s="2"/>
    </row>
    <row r="2" spans="1:11" x14ac:dyDescent="0.25">
      <c r="A2" s="5"/>
      <c r="B2" s="3"/>
      <c r="C2" t="s">
        <v>5</v>
      </c>
      <c r="D2" s="8"/>
      <c r="F2" s="5"/>
      <c r="G2" t="s">
        <v>5</v>
      </c>
      <c r="J2" t="s">
        <v>9</v>
      </c>
      <c r="K2" t="s">
        <v>60</v>
      </c>
    </row>
    <row r="3" spans="1:11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H3" t="s">
        <v>1</v>
      </c>
      <c r="I3" t="s">
        <v>6</v>
      </c>
      <c r="J3" t="s">
        <v>10</v>
      </c>
      <c r="K3" s="5"/>
    </row>
    <row r="4" spans="1:11" x14ac:dyDescent="0.25">
      <c r="A4" s="2">
        <v>44469</v>
      </c>
      <c r="B4" s="3" t="s">
        <v>118</v>
      </c>
      <c r="C4">
        <v>212</v>
      </c>
      <c r="D4" s="8">
        <v>33</v>
      </c>
      <c r="E4">
        <f>+C4/D4*1000</f>
        <v>6424.242424242424</v>
      </c>
      <c r="G4">
        <v>585</v>
      </c>
      <c r="H4">
        <v>33</v>
      </c>
      <c r="I4">
        <f>+G4/H4*1000</f>
        <v>17727.272727272728</v>
      </c>
      <c r="J4">
        <f t="shared" ref="J4:J11" si="0">+E4-I4</f>
        <v>-11303.030303030304</v>
      </c>
      <c r="K4">
        <f t="shared" ref="K4:K12" si="1">+J4/E4*100</f>
        <v>-175.9433962264151</v>
      </c>
    </row>
    <row r="5" spans="1:11" x14ac:dyDescent="0.25">
      <c r="A5" s="2">
        <v>44469</v>
      </c>
      <c r="B5" s="3" t="s">
        <v>119</v>
      </c>
      <c r="C5" s="11">
        <v>122</v>
      </c>
      <c r="D5" s="8">
        <v>33</v>
      </c>
      <c r="E5">
        <f t="shared" ref="E5:E11" si="2">+C5/D5*1000</f>
        <v>3696.969696969697</v>
      </c>
      <c r="G5">
        <v>276</v>
      </c>
      <c r="H5">
        <v>33</v>
      </c>
      <c r="I5">
        <f t="shared" ref="I5:I12" si="3">+G5/H5*1000</f>
        <v>8363.636363636364</v>
      </c>
      <c r="J5">
        <f t="shared" si="0"/>
        <v>-4666.666666666667</v>
      </c>
      <c r="K5">
        <f t="shared" si="1"/>
        <v>-126.22950819672131</v>
      </c>
    </row>
    <row r="6" spans="1:11" x14ac:dyDescent="0.25">
      <c r="A6" s="2">
        <v>44469</v>
      </c>
      <c r="B6" s="3" t="s">
        <v>116</v>
      </c>
      <c r="C6" s="11">
        <v>215</v>
      </c>
      <c r="D6" s="8">
        <v>33</v>
      </c>
      <c r="E6">
        <f t="shared" si="2"/>
        <v>6515.1515151515159</v>
      </c>
      <c r="G6">
        <v>150</v>
      </c>
      <c r="H6">
        <v>33</v>
      </c>
      <c r="I6">
        <f t="shared" si="3"/>
        <v>4545.454545454546</v>
      </c>
      <c r="J6">
        <f t="shared" si="0"/>
        <v>1969.69696969697</v>
      </c>
      <c r="K6">
        <f t="shared" si="1"/>
        <v>30.232558139534881</v>
      </c>
    </row>
    <row r="7" spans="1:11" x14ac:dyDescent="0.25">
      <c r="A7" s="2">
        <v>44469</v>
      </c>
      <c r="B7" s="3" t="s">
        <v>117</v>
      </c>
      <c r="C7" s="11">
        <v>164</v>
      </c>
      <c r="D7" s="14">
        <v>33</v>
      </c>
      <c r="E7" s="11">
        <f t="shared" si="2"/>
        <v>4969.69696969697</v>
      </c>
      <c r="F7" s="11"/>
      <c r="G7" s="11">
        <v>506</v>
      </c>
      <c r="H7" s="11">
        <v>33</v>
      </c>
      <c r="I7">
        <f t="shared" si="3"/>
        <v>15333.333333333334</v>
      </c>
      <c r="J7">
        <f t="shared" si="0"/>
        <v>-10363.636363636364</v>
      </c>
      <c r="K7">
        <f t="shared" si="1"/>
        <v>-208.53658536585365</v>
      </c>
    </row>
    <row r="8" spans="1:11" x14ac:dyDescent="0.25">
      <c r="A8" s="2">
        <v>44469</v>
      </c>
      <c r="B8" s="3" t="s">
        <v>113</v>
      </c>
      <c r="C8" s="11">
        <v>254</v>
      </c>
      <c r="D8" s="14">
        <v>33</v>
      </c>
      <c r="E8" s="11">
        <f t="shared" si="2"/>
        <v>7696.969696969697</v>
      </c>
      <c r="F8" s="11"/>
      <c r="G8" s="11">
        <v>1164</v>
      </c>
      <c r="H8" s="11">
        <v>33</v>
      </c>
      <c r="I8">
        <f t="shared" si="3"/>
        <v>35272.727272727272</v>
      </c>
      <c r="J8">
        <f t="shared" si="0"/>
        <v>-27575.757575757576</v>
      </c>
      <c r="K8">
        <f t="shared" si="1"/>
        <v>-358.26771653543307</v>
      </c>
    </row>
    <row r="9" spans="1:11" x14ac:dyDescent="0.25">
      <c r="A9" s="2">
        <v>44469</v>
      </c>
      <c r="B9" s="3" t="s">
        <v>115</v>
      </c>
      <c r="C9" s="11">
        <v>334</v>
      </c>
      <c r="D9" s="14">
        <v>33</v>
      </c>
      <c r="E9" s="11">
        <f t="shared" si="2"/>
        <v>10121.212121212122</v>
      </c>
      <c r="F9" s="11"/>
      <c r="G9" s="11">
        <v>552</v>
      </c>
      <c r="H9" s="11">
        <v>33</v>
      </c>
      <c r="I9">
        <f t="shared" si="3"/>
        <v>16727.272727272728</v>
      </c>
      <c r="J9">
        <f t="shared" si="0"/>
        <v>-6606.060606060606</v>
      </c>
      <c r="K9">
        <f t="shared" si="1"/>
        <v>-65.269461077844298</v>
      </c>
    </row>
    <row r="10" spans="1:11" x14ac:dyDescent="0.25">
      <c r="A10" s="2">
        <v>44469</v>
      </c>
      <c r="B10" s="3" t="s">
        <v>114</v>
      </c>
      <c r="C10" s="11">
        <v>318</v>
      </c>
      <c r="D10" s="14">
        <v>33</v>
      </c>
      <c r="E10" s="11">
        <f t="shared" si="2"/>
        <v>9636.363636363636</v>
      </c>
      <c r="F10" s="11"/>
      <c r="G10" s="11">
        <v>1026</v>
      </c>
      <c r="H10" s="11">
        <v>33</v>
      </c>
      <c r="I10">
        <f t="shared" si="3"/>
        <v>31090.909090909088</v>
      </c>
      <c r="J10">
        <f t="shared" si="0"/>
        <v>-21454.545454545452</v>
      </c>
      <c r="K10">
        <f t="shared" si="1"/>
        <v>-222.64150943396226</v>
      </c>
    </row>
    <row r="11" spans="1:11" x14ac:dyDescent="0.25">
      <c r="A11" s="2">
        <v>44469</v>
      </c>
      <c r="B11" s="3" t="s">
        <v>112</v>
      </c>
      <c r="C11" s="11">
        <v>332</v>
      </c>
      <c r="D11" s="14">
        <v>33</v>
      </c>
      <c r="E11" s="11">
        <f t="shared" si="2"/>
        <v>10060.60606060606</v>
      </c>
      <c r="F11" s="11"/>
      <c r="G11" s="11">
        <v>1847</v>
      </c>
      <c r="H11" s="11">
        <v>33</v>
      </c>
      <c r="I11">
        <f t="shared" si="3"/>
        <v>55969.696969696968</v>
      </c>
      <c r="J11">
        <f t="shared" si="0"/>
        <v>-45909.090909090912</v>
      </c>
      <c r="K11">
        <f t="shared" si="1"/>
        <v>-456.32530120481931</v>
      </c>
    </row>
    <row r="12" spans="1:11" x14ac:dyDescent="0.25">
      <c r="A12" s="2">
        <v>44469</v>
      </c>
      <c r="B12" s="3" t="s">
        <v>120</v>
      </c>
      <c r="C12" s="11">
        <v>150</v>
      </c>
      <c r="D12" s="14">
        <v>33</v>
      </c>
      <c r="E12" s="11">
        <f>+C12/D12*1000</f>
        <v>4545.454545454546</v>
      </c>
      <c r="F12" s="11"/>
      <c r="G12" s="11">
        <v>283</v>
      </c>
      <c r="H12" s="11">
        <v>33</v>
      </c>
      <c r="I12">
        <f t="shared" si="3"/>
        <v>8575.757575757576</v>
      </c>
      <c r="J12">
        <f>+E12-I12</f>
        <v>-4030.30303030303</v>
      </c>
      <c r="K12">
        <f t="shared" si="1"/>
        <v>-88.666666666666643</v>
      </c>
    </row>
    <row r="13" spans="1:11" x14ac:dyDescent="0.25">
      <c r="A13" s="2"/>
      <c r="B13" s="3"/>
      <c r="C13" s="11"/>
      <c r="D13" s="14"/>
      <c r="E13" s="11"/>
      <c r="F13" s="11"/>
      <c r="G13" s="11"/>
      <c r="H13" s="11"/>
    </row>
    <row r="14" spans="1:11" x14ac:dyDescent="0.25">
      <c r="A14" s="2"/>
      <c r="B14" s="3"/>
      <c r="C14" s="11"/>
      <c r="D14" s="14"/>
      <c r="E14" s="11"/>
      <c r="F14" s="11"/>
      <c r="G14" s="11"/>
      <c r="H14" s="11"/>
    </row>
    <row r="15" spans="1:11" x14ac:dyDescent="0.25">
      <c r="A15" s="2">
        <v>44469</v>
      </c>
      <c r="B15" s="3" t="s">
        <v>118</v>
      </c>
      <c r="C15" s="11">
        <v>82</v>
      </c>
      <c r="D15" s="14">
        <v>33</v>
      </c>
      <c r="E15" s="11">
        <f t="shared" ref="E15" si="4">+C15/D15*1000</f>
        <v>2484.848484848485</v>
      </c>
      <c r="F15" s="11"/>
      <c r="G15" s="11">
        <v>71</v>
      </c>
      <c r="H15" s="11">
        <v>33</v>
      </c>
      <c r="I15">
        <f>+G15/H15*1000</f>
        <v>2151.5151515151515</v>
      </c>
      <c r="J15">
        <f>+E15-I15</f>
        <v>333.33333333333348</v>
      </c>
      <c r="K15">
        <f t="shared" ref="K15:K22" si="5">+J15/E15*100</f>
        <v>13.41463414634147</v>
      </c>
    </row>
    <row r="16" spans="1:11" x14ac:dyDescent="0.25">
      <c r="A16" s="2">
        <v>44469</v>
      </c>
      <c r="B16" s="3" t="s">
        <v>119</v>
      </c>
      <c r="C16" s="11">
        <v>80</v>
      </c>
      <c r="D16" s="14">
        <v>33</v>
      </c>
      <c r="E16" s="11">
        <f>+C16/D16*1000</f>
        <v>2424.2424242424245</v>
      </c>
      <c r="F16" s="11"/>
      <c r="G16" s="11">
        <v>71</v>
      </c>
      <c r="H16" s="11">
        <v>33</v>
      </c>
      <c r="I16">
        <f>+G16/H16*1000</f>
        <v>2151.5151515151515</v>
      </c>
      <c r="J16">
        <f>+E16-I16</f>
        <v>272.72727272727298</v>
      </c>
      <c r="K16">
        <f t="shared" si="5"/>
        <v>11.250000000000009</v>
      </c>
    </row>
    <row r="17" spans="1:15" x14ac:dyDescent="0.25">
      <c r="A17" s="2">
        <v>44469</v>
      </c>
      <c r="B17" s="3" t="s">
        <v>116</v>
      </c>
      <c r="C17" s="11">
        <v>92</v>
      </c>
      <c r="D17" s="14">
        <v>33</v>
      </c>
      <c r="E17" s="11">
        <f>+C17/D17*1000</f>
        <v>2787.878787878788</v>
      </c>
      <c r="F17" s="11"/>
      <c r="G17" s="11">
        <v>79</v>
      </c>
      <c r="H17" s="11">
        <v>33</v>
      </c>
      <c r="I17">
        <f t="shared" ref="I17:I22" si="6">+G17/H17*1000</f>
        <v>2393.939393939394</v>
      </c>
      <c r="J17">
        <f t="shared" ref="J17:J22" si="7">+E17-I17</f>
        <v>393.93939393939399</v>
      </c>
      <c r="K17">
        <f t="shared" si="5"/>
        <v>14.130434782608697</v>
      </c>
    </row>
    <row r="18" spans="1:15" x14ac:dyDescent="0.25">
      <c r="A18" s="2">
        <v>44469</v>
      </c>
      <c r="B18" s="3" t="s">
        <v>117</v>
      </c>
      <c r="C18" s="11">
        <v>91</v>
      </c>
      <c r="D18" s="14">
        <v>33</v>
      </c>
      <c r="E18" s="11">
        <f>+C18/D18*1000</f>
        <v>2757.575757575758</v>
      </c>
      <c r="F18" s="11"/>
      <c r="G18" s="11">
        <v>178</v>
      </c>
      <c r="H18" s="11">
        <v>33</v>
      </c>
      <c r="I18">
        <f>+G18/H18*1000</f>
        <v>5393.939393939394</v>
      </c>
      <c r="J18">
        <f t="shared" si="7"/>
        <v>-2636.363636363636</v>
      </c>
      <c r="K18">
        <f t="shared" si="5"/>
        <v>-95.604395604395577</v>
      </c>
    </row>
    <row r="19" spans="1:15" x14ac:dyDescent="0.25">
      <c r="A19" s="2">
        <v>44469</v>
      </c>
      <c r="B19" s="3" t="s">
        <v>113</v>
      </c>
      <c r="C19" s="11">
        <v>55</v>
      </c>
      <c r="D19" s="14">
        <v>33</v>
      </c>
      <c r="E19" s="11">
        <f t="shared" ref="E19:E22" si="8">+C19/D19*1000</f>
        <v>1666.6666666666667</v>
      </c>
      <c r="F19" s="11"/>
      <c r="G19" s="11">
        <v>56</v>
      </c>
      <c r="H19" s="11">
        <v>33</v>
      </c>
      <c r="I19">
        <f t="shared" si="6"/>
        <v>1696.969696969697</v>
      </c>
      <c r="J19">
        <f t="shared" si="7"/>
        <v>-30.303030303030255</v>
      </c>
      <c r="K19">
        <f t="shared" si="5"/>
        <v>-1.8181818181818152</v>
      </c>
    </row>
    <row r="20" spans="1:15" x14ac:dyDescent="0.25">
      <c r="A20" s="2">
        <v>44469</v>
      </c>
      <c r="B20" s="3" t="s">
        <v>115</v>
      </c>
      <c r="C20" s="11">
        <v>62</v>
      </c>
      <c r="D20" s="14">
        <v>33</v>
      </c>
      <c r="E20" s="11">
        <f t="shared" si="8"/>
        <v>1878.787878787879</v>
      </c>
      <c r="F20" s="11"/>
      <c r="G20" s="11">
        <v>70</v>
      </c>
      <c r="H20" s="11">
        <v>33</v>
      </c>
      <c r="I20">
        <f t="shared" si="6"/>
        <v>2121.212121212121</v>
      </c>
      <c r="J20">
        <f t="shared" si="7"/>
        <v>-242.42424242424204</v>
      </c>
      <c r="K20">
        <f t="shared" si="5"/>
        <v>-12.903225806451591</v>
      </c>
    </row>
    <row r="21" spans="1:15" x14ac:dyDescent="0.25">
      <c r="A21" s="2">
        <v>44469</v>
      </c>
      <c r="B21" s="3" t="s">
        <v>114</v>
      </c>
      <c r="C21" s="11">
        <v>78</v>
      </c>
      <c r="D21" s="14">
        <v>33</v>
      </c>
      <c r="E21" s="11">
        <f t="shared" si="8"/>
        <v>2363.636363636364</v>
      </c>
      <c r="F21" s="11"/>
      <c r="G21" s="11">
        <v>46</v>
      </c>
      <c r="H21" s="11">
        <v>33</v>
      </c>
      <c r="I21">
        <f t="shared" si="6"/>
        <v>1393.939393939394</v>
      </c>
      <c r="J21">
        <f t="shared" si="7"/>
        <v>969.69696969696997</v>
      </c>
      <c r="K21">
        <f t="shared" si="5"/>
        <v>41.025641025641029</v>
      </c>
    </row>
    <row r="22" spans="1:15" x14ac:dyDescent="0.25">
      <c r="A22" s="2">
        <v>44469</v>
      </c>
      <c r="B22" s="3" t="s">
        <v>112</v>
      </c>
      <c r="C22" s="11">
        <v>63</v>
      </c>
      <c r="D22" s="14">
        <v>33</v>
      </c>
      <c r="E22" s="11">
        <f t="shared" si="8"/>
        <v>1909.0909090909092</v>
      </c>
      <c r="F22" s="11"/>
      <c r="G22" s="11">
        <v>55</v>
      </c>
      <c r="H22" s="11">
        <v>33</v>
      </c>
      <c r="I22">
        <f t="shared" si="6"/>
        <v>1666.6666666666667</v>
      </c>
      <c r="J22">
        <f t="shared" si="7"/>
        <v>242.42424242424249</v>
      </c>
      <c r="K22">
        <f t="shared" si="5"/>
        <v>12.698412698412701</v>
      </c>
    </row>
    <row r="23" spans="1:15" x14ac:dyDescent="0.25">
      <c r="A23" s="2"/>
      <c r="B23" s="3"/>
      <c r="C23" s="11"/>
      <c r="D23" s="14"/>
      <c r="E23" s="11"/>
      <c r="F23" s="11"/>
      <c r="G23" s="11"/>
      <c r="H23" s="11"/>
    </row>
    <row r="24" spans="1:15" x14ac:dyDescent="0.25">
      <c r="A24" s="2">
        <v>44469</v>
      </c>
      <c r="B24" s="8" t="s">
        <v>109</v>
      </c>
      <c r="C24" s="11">
        <v>28767</v>
      </c>
      <c r="D24" s="14">
        <v>33</v>
      </c>
      <c r="E24" s="11">
        <f>+C24/D24*1000</f>
        <v>871727.27272727271</v>
      </c>
      <c r="F24" s="11"/>
      <c r="G24" s="11"/>
      <c r="H24" s="11"/>
    </row>
    <row r="25" spans="1:15" x14ac:dyDescent="0.25">
      <c r="B25" s="8" t="s">
        <v>145</v>
      </c>
      <c r="C25" s="11"/>
      <c r="D25" s="14"/>
      <c r="E25" s="11"/>
      <c r="F25" s="11"/>
      <c r="G25" s="15"/>
      <c r="H25" s="11"/>
    </row>
    <row r="26" spans="1:15" x14ac:dyDescent="0.25">
      <c r="A26" s="2"/>
      <c r="B26" s="8" t="s">
        <v>149</v>
      </c>
      <c r="C26" s="11">
        <v>215</v>
      </c>
      <c r="D26" s="14">
        <v>33</v>
      </c>
      <c r="E26" s="11">
        <f>+C26/D26*1000</f>
        <v>6515.1515151515159</v>
      </c>
      <c r="F26" s="11"/>
      <c r="G26" s="11"/>
      <c r="H26" s="11"/>
      <c r="I26">
        <f>AVERAGE(I4:I12)</f>
        <v>21511.784511784514</v>
      </c>
      <c r="J26" t="s">
        <v>161</v>
      </c>
    </row>
    <row r="27" spans="1:15" x14ac:dyDescent="0.25">
      <c r="B27" s="8" t="s">
        <v>150</v>
      </c>
      <c r="C27" s="11">
        <v>242</v>
      </c>
      <c r="D27" s="14">
        <v>33</v>
      </c>
      <c r="E27" s="11">
        <f>+C27/D27*1000</f>
        <v>7333.333333333333</v>
      </c>
      <c r="F27" s="11"/>
      <c r="G27" s="11"/>
      <c r="H27" s="11"/>
      <c r="I27">
        <f>AVERAGE(E4:E12)</f>
        <v>7074.0740740740748</v>
      </c>
      <c r="J27" t="s">
        <v>160</v>
      </c>
    </row>
    <row r="28" spans="1:15" x14ac:dyDescent="0.25">
      <c r="B28" s="8" t="s">
        <v>157</v>
      </c>
      <c r="C28" s="11">
        <v>177</v>
      </c>
      <c r="D28" s="14">
        <v>33</v>
      </c>
      <c r="E28" s="11">
        <f>+C28/D28*1000</f>
        <v>5363.6363636363631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B29" s="8" t="s">
        <v>158</v>
      </c>
      <c r="C29" s="11">
        <v>178</v>
      </c>
      <c r="D29" s="14">
        <v>33</v>
      </c>
      <c r="E29" s="11">
        <f>+C29/D29*1000</f>
        <v>5393.939393939394</v>
      </c>
      <c r="F29" s="11"/>
      <c r="G29" s="11"/>
      <c r="H29" s="11"/>
    </row>
    <row r="30" spans="1:15" x14ac:dyDescent="0.25">
      <c r="F30" s="11"/>
      <c r="G30" s="11">
        <f>AVERAGE(E15:E22)</f>
        <v>2284.090909090909</v>
      </c>
      <c r="H30" s="11"/>
    </row>
    <row r="31" spans="1:15" x14ac:dyDescent="0.25">
      <c r="F31" s="11"/>
      <c r="G31" s="11"/>
      <c r="H31" s="11"/>
    </row>
    <row r="32" spans="1:15" x14ac:dyDescent="0.25">
      <c r="B32" s="8"/>
      <c r="C32" s="11"/>
      <c r="D32" s="14"/>
      <c r="E32" s="11"/>
      <c r="F32" s="11"/>
      <c r="G32" s="11"/>
      <c r="H32" s="11"/>
    </row>
    <row r="33" spans="1:15" x14ac:dyDescent="0.25">
      <c r="B33" s="8"/>
      <c r="C33" s="11"/>
      <c r="D33" s="14"/>
      <c r="E33" s="11"/>
      <c r="F33" s="11"/>
      <c r="G33" s="11"/>
      <c r="H33" s="11"/>
    </row>
    <row r="34" spans="1:15" x14ac:dyDescent="0.25">
      <c r="B34" s="8"/>
      <c r="C34" s="11"/>
      <c r="D34" s="14"/>
      <c r="E34" s="11"/>
      <c r="F34" s="11"/>
      <c r="G34" s="11"/>
      <c r="H34" s="11"/>
    </row>
    <row r="35" spans="1:15" x14ac:dyDescent="0.25">
      <c r="B35" s="8"/>
      <c r="C35" s="11"/>
      <c r="D35" s="14"/>
      <c r="E35" s="11"/>
      <c r="F35" s="11"/>
      <c r="G35" s="11"/>
      <c r="H35" s="11"/>
    </row>
    <row r="36" spans="1:15" x14ac:dyDescent="0.25">
      <c r="B36" s="3"/>
      <c r="D36" s="8"/>
      <c r="E36">
        <f>AVERAGE(E4:E12)</f>
        <v>7074.0740740740748</v>
      </c>
      <c r="I36" s="11"/>
      <c r="J36" s="11"/>
      <c r="K36" s="11"/>
      <c r="L36" s="11"/>
      <c r="M36" s="11"/>
      <c r="N36" s="11"/>
      <c r="O36" s="11"/>
    </row>
    <row r="37" spans="1:15" x14ac:dyDescent="0.25">
      <c r="A37" s="6"/>
      <c r="B37" s="3"/>
      <c r="D37" s="8"/>
      <c r="E37">
        <f>AVERAGE(E15:E22)</f>
        <v>2284.090909090909</v>
      </c>
      <c r="I37" s="11"/>
      <c r="J37" s="11"/>
      <c r="K37" s="11"/>
      <c r="L37" s="11"/>
      <c r="M37" s="11"/>
      <c r="N37" s="11"/>
      <c r="O37" s="11"/>
    </row>
    <row r="38" spans="1:15" x14ac:dyDescent="0.25">
      <c r="B38" s="3"/>
      <c r="D38" s="8"/>
      <c r="E38">
        <f>+(E37-E36)/E36</f>
        <v>-0.67711803902903389</v>
      </c>
      <c r="I38" s="11"/>
      <c r="J38" s="11"/>
      <c r="K38" s="11"/>
      <c r="L38" s="11"/>
      <c r="M38" s="11"/>
      <c r="N38" s="11"/>
      <c r="O38" s="11"/>
    </row>
    <row r="39" spans="1:15" x14ac:dyDescent="0.25">
      <c r="A39" t="s">
        <v>128</v>
      </c>
      <c r="B39" s="3"/>
      <c r="D39" s="8"/>
    </row>
    <row r="40" spans="1:15" x14ac:dyDescent="0.25">
      <c r="B40" s="3"/>
      <c r="C40" t="s">
        <v>0</v>
      </c>
      <c r="D40" s="8" t="s">
        <v>1</v>
      </c>
      <c r="E40" t="s">
        <v>3</v>
      </c>
      <c r="F40" s="6"/>
      <c r="H40" t="s">
        <v>132</v>
      </c>
    </row>
    <row r="41" spans="1:15" x14ac:dyDescent="0.25">
      <c r="B41" s="3"/>
      <c r="D41" s="8"/>
      <c r="H41" t="e">
        <f>(E42-E41)/E42*100</f>
        <v>#DIV/0!</v>
      </c>
    </row>
    <row r="42" spans="1:15" x14ac:dyDescent="0.25">
      <c r="B42" s="3"/>
      <c r="D42" s="8"/>
    </row>
    <row r="43" spans="1:15" x14ac:dyDescent="0.25">
      <c r="B43" s="3"/>
      <c r="D43" s="8"/>
    </row>
    <row r="44" spans="1:15" x14ac:dyDescent="0.25">
      <c r="A44" t="s">
        <v>133</v>
      </c>
      <c r="B44" s="3"/>
      <c r="D44" s="8"/>
    </row>
    <row r="45" spans="1:15" x14ac:dyDescent="0.25">
      <c r="B45" s="3"/>
      <c r="D45" s="8"/>
    </row>
    <row r="46" spans="1:15" x14ac:dyDescent="0.25">
      <c r="B46" s="3"/>
      <c r="D46" s="8">
        <v>33</v>
      </c>
      <c r="E46">
        <f>+C46/D46*1000</f>
        <v>0</v>
      </c>
    </row>
    <row r="47" spans="1:15" x14ac:dyDescent="0.25">
      <c r="B47" s="3"/>
      <c r="D47" s="8"/>
    </row>
    <row r="48" spans="1:15" x14ac:dyDescent="0.25">
      <c r="B48" s="3"/>
      <c r="D48" s="8"/>
    </row>
    <row r="49" spans="2:4" x14ac:dyDescent="0.25">
      <c r="B49" s="3"/>
      <c r="D49" s="8">
        <f>40000*20</f>
        <v>800000</v>
      </c>
    </row>
    <row r="50" spans="2:4" x14ac:dyDescent="0.25">
      <c r="B50" s="3"/>
      <c r="D50" s="8" t="e">
        <f>+D49/E46</f>
        <v>#DIV/0!</v>
      </c>
    </row>
    <row r="51" spans="2:4" x14ac:dyDescent="0.25">
      <c r="B51" s="3"/>
      <c r="D5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4" sqref="G24"/>
    </sheetView>
  </sheetViews>
  <sheetFormatPr defaultRowHeight="15" x14ac:dyDescent="0.25"/>
  <cols>
    <col min="1" max="1" width="9.7109375" bestFit="1" customWidth="1"/>
    <col min="3" max="3" width="10" bestFit="1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>
        <v>0.52083333333333337</v>
      </c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>
        <v>44201</v>
      </c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44409</v>
      </c>
      <c r="B4">
        <v>1</v>
      </c>
      <c r="C4" s="1">
        <v>1553</v>
      </c>
      <c r="D4">
        <v>33</v>
      </c>
      <c r="E4">
        <f>+C4/33*1000</f>
        <v>47060.606060606064</v>
      </c>
      <c r="G4" s="2">
        <v>44410</v>
      </c>
      <c r="H4">
        <v>1</v>
      </c>
      <c r="I4">
        <v>986</v>
      </c>
      <c r="J4">
        <v>33</v>
      </c>
      <c r="K4">
        <f t="shared" ref="K4:K18" si="0">+I4/J4*1000</f>
        <v>29878.78787878788</v>
      </c>
      <c r="L4">
        <f>+E4-K4</f>
        <v>17181.818181818184</v>
      </c>
      <c r="M4">
        <f>+L4/17.8333</f>
        <v>963.46824097717092</v>
      </c>
      <c r="N4">
        <f>AVERAGE(M4:M8)</f>
        <v>718.09819865423697</v>
      </c>
    </row>
    <row r="5" spans="1:14" x14ac:dyDescent="0.25">
      <c r="A5" s="2">
        <v>44409</v>
      </c>
      <c r="B5">
        <v>2</v>
      </c>
      <c r="C5">
        <v>1354</v>
      </c>
      <c r="D5">
        <v>33</v>
      </c>
      <c r="E5">
        <f t="shared" ref="E5:E18" si="1">+C5/33*1000</f>
        <v>41030.303030303032</v>
      </c>
      <c r="G5" s="2">
        <v>44410</v>
      </c>
      <c r="H5">
        <v>2</v>
      </c>
      <c r="I5">
        <v>1053</v>
      </c>
      <c r="J5">
        <v>33</v>
      </c>
      <c r="K5">
        <f t="shared" si="0"/>
        <v>31909.090909090912</v>
      </c>
      <c r="L5">
        <f>+E5-K5</f>
        <v>9121.2121212121201</v>
      </c>
      <c r="M5">
        <f t="shared" ref="M5:M8" si="2">+L5/17.8333</f>
        <v>511.470794592819</v>
      </c>
    </row>
    <row r="6" spans="1:14" x14ac:dyDescent="0.25">
      <c r="A6" s="2">
        <v>44409</v>
      </c>
      <c r="B6">
        <v>3</v>
      </c>
      <c r="C6">
        <v>1493</v>
      </c>
      <c r="D6">
        <v>33</v>
      </c>
      <c r="E6">
        <f t="shared" si="1"/>
        <v>45242.42424242424</v>
      </c>
      <c r="G6" s="2">
        <v>44410</v>
      </c>
      <c r="H6">
        <v>3</v>
      </c>
      <c r="I6">
        <v>1062</v>
      </c>
      <c r="J6">
        <v>33</v>
      </c>
      <c r="K6">
        <f t="shared" si="0"/>
        <v>32181.81818181818</v>
      </c>
      <c r="L6">
        <f t="shared" ref="L6:L18" si="3">+E6-K6</f>
        <v>13060.60606060606</v>
      </c>
      <c r="M6">
        <f t="shared" si="2"/>
        <v>732.37180222426912</v>
      </c>
    </row>
    <row r="7" spans="1:14" x14ac:dyDescent="0.25">
      <c r="A7" s="2">
        <v>44409</v>
      </c>
      <c r="B7">
        <v>4</v>
      </c>
      <c r="C7">
        <v>1413</v>
      </c>
      <c r="D7">
        <v>33</v>
      </c>
      <c r="E7">
        <f t="shared" si="1"/>
        <v>42818.181818181823</v>
      </c>
      <c r="G7" s="2">
        <v>44410</v>
      </c>
      <c r="H7">
        <v>4</v>
      </c>
      <c r="I7">
        <v>1121</v>
      </c>
      <c r="J7">
        <v>33</v>
      </c>
      <c r="K7">
        <f t="shared" si="0"/>
        <v>33969.696969696968</v>
      </c>
      <c r="L7">
        <f t="shared" si="3"/>
        <v>8848.4848484848553</v>
      </c>
      <c r="M7">
        <f t="shared" si="2"/>
        <v>496.17764791064218</v>
      </c>
    </row>
    <row r="8" spans="1:14" x14ac:dyDescent="0.25">
      <c r="A8" s="2">
        <v>44409</v>
      </c>
      <c r="B8">
        <v>5</v>
      </c>
      <c r="C8">
        <v>1316</v>
      </c>
      <c r="D8">
        <v>33</v>
      </c>
      <c r="E8">
        <f t="shared" si="1"/>
        <v>39878.787878787873</v>
      </c>
      <c r="G8" s="2">
        <v>44410</v>
      </c>
      <c r="H8">
        <v>5</v>
      </c>
      <c r="I8">
        <v>794</v>
      </c>
      <c r="J8">
        <v>33</v>
      </c>
      <c r="K8">
        <f t="shared" si="0"/>
        <v>24060.606060606064</v>
      </c>
      <c r="L8">
        <f t="shared" si="3"/>
        <v>15818.181818181809</v>
      </c>
      <c r="M8">
        <f t="shared" si="2"/>
        <v>887.00250756628373</v>
      </c>
    </row>
    <row r="9" spans="1:14" x14ac:dyDescent="0.25">
      <c r="A9" s="2">
        <v>44409</v>
      </c>
      <c r="B9">
        <v>6</v>
      </c>
      <c r="C9">
        <v>1087</v>
      </c>
      <c r="D9">
        <v>33</v>
      </c>
      <c r="E9">
        <f t="shared" si="1"/>
        <v>32939.393939393936</v>
      </c>
      <c r="G9" s="2">
        <v>44410</v>
      </c>
      <c r="H9">
        <v>6</v>
      </c>
      <c r="I9">
        <v>348</v>
      </c>
      <c r="J9">
        <v>33</v>
      </c>
      <c r="K9">
        <f t="shared" si="0"/>
        <v>10545.454545454544</v>
      </c>
      <c r="L9">
        <f t="shared" si="3"/>
        <v>22393.939393939392</v>
      </c>
      <c r="M9">
        <f>+L9/19.3333</f>
        <v>1158.3092071161877</v>
      </c>
      <c r="N9">
        <f>AVERAGE(M9:M13)</f>
        <v>951.41229867324205</v>
      </c>
    </row>
    <row r="10" spans="1:14" x14ac:dyDescent="0.25">
      <c r="A10" s="2">
        <v>44409</v>
      </c>
      <c r="B10">
        <v>7</v>
      </c>
      <c r="C10">
        <v>1118</v>
      </c>
      <c r="D10">
        <v>33</v>
      </c>
      <c r="E10">
        <f t="shared" si="1"/>
        <v>33878.787878787873</v>
      </c>
      <c r="G10" s="2">
        <v>44410</v>
      </c>
      <c r="H10">
        <v>7</v>
      </c>
      <c r="I10">
        <v>404</v>
      </c>
      <c r="J10">
        <v>33</v>
      </c>
      <c r="K10">
        <f t="shared" si="0"/>
        <v>12242.424242424242</v>
      </c>
      <c r="L10">
        <f t="shared" si="3"/>
        <v>21636.363636363632</v>
      </c>
      <c r="M10">
        <f t="shared" ref="M10:M18" si="4">+L10/19.3333</f>
        <v>1119.1241865777508</v>
      </c>
    </row>
    <row r="11" spans="1:14" x14ac:dyDescent="0.25">
      <c r="A11" s="2">
        <v>44409</v>
      </c>
      <c r="B11">
        <v>8</v>
      </c>
      <c r="C11">
        <v>1030</v>
      </c>
      <c r="D11">
        <v>33</v>
      </c>
      <c r="E11">
        <f t="shared" si="1"/>
        <v>31212.121212121212</v>
      </c>
      <c r="G11" s="2">
        <v>44410</v>
      </c>
      <c r="H11">
        <v>8</v>
      </c>
      <c r="I11">
        <v>580</v>
      </c>
      <c r="J11">
        <v>33</v>
      </c>
      <c r="K11">
        <f t="shared" si="0"/>
        <v>17575.757575757576</v>
      </c>
      <c r="L11">
        <f t="shared" si="3"/>
        <v>13636.363636363636</v>
      </c>
      <c r="M11">
        <f t="shared" si="4"/>
        <v>705.33036969185991</v>
      </c>
    </row>
    <row r="12" spans="1:14" x14ac:dyDescent="0.25">
      <c r="A12" s="2">
        <v>44409</v>
      </c>
      <c r="B12">
        <v>9</v>
      </c>
      <c r="C12">
        <v>1033</v>
      </c>
      <c r="D12">
        <v>33</v>
      </c>
      <c r="E12">
        <f t="shared" si="1"/>
        <v>31303.030303030304</v>
      </c>
      <c r="G12" s="2">
        <v>44410</v>
      </c>
      <c r="H12">
        <v>9</v>
      </c>
      <c r="I12">
        <v>366</v>
      </c>
      <c r="J12">
        <v>33</v>
      </c>
      <c r="K12">
        <f t="shared" si="0"/>
        <v>11090.909090909092</v>
      </c>
      <c r="L12">
        <f t="shared" si="3"/>
        <v>20212.121212121212</v>
      </c>
      <c r="M12">
        <f t="shared" si="4"/>
        <v>1045.4563479654901</v>
      </c>
    </row>
    <row r="13" spans="1:14" x14ac:dyDescent="0.25">
      <c r="A13" s="2">
        <v>44409</v>
      </c>
      <c r="B13">
        <v>10</v>
      </c>
      <c r="C13">
        <v>1135</v>
      </c>
      <c r="D13">
        <v>33</v>
      </c>
      <c r="E13">
        <f t="shared" si="1"/>
        <v>34393.939393939392</v>
      </c>
      <c r="G13" s="2">
        <v>44410</v>
      </c>
      <c r="H13">
        <v>10</v>
      </c>
      <c r="I13">
        <v>670</v>
      </c>
      <c r="J13">
        <v>33</v>
      </c>
      <c r="K13">
        <f t="shared" si="0"/>
        <v>20303.030303030304</v>
      </c>
      <c r="L13">
        <f t="shared" si="3"/>
        <v>14090.909090909088</v>
      </c>
      <c r="M13">
        <f t="shared" si="4"/>
        <v>728.84138201492181</v>
      </c>
    </row>
    <row r="14" spans="1:14" x14ac:dyDescent="0.25">
      <c r="A14" s="2">
        <v>44409</v>
      </c>
      <c r="B14">
        <v>11</v>
      </c>
      <c r="C14">
        <v>1338</v>
      </c>
      <c r="D14">
        <v>33</v>
      </c>
      <c r="E14">
        <f t="shared" si="1"/>
        <v>40545.454545454544</v>
      </c>
      <c r="G14" s="2">
        <v>44410</v>
      </c>
      <c r="H14">
        <v>11</v>
      </c>
      <c r="I14">
        <v>1024</v>
      </c>
      <c r="J14">
        <v>33</v>
      </c>
      <c r="K14">
        <f>+I14/J14*1000</f>
        <v>31030.303030303032</v>
      </c>
      <c r="L14">
        <f t="shared" si="3"/>
        <v>9515.1515151515123</v>
      </c>
      <c r="M14">
        <f t="shared" si="4"/>
        <v>492.16385796276433</v>
      </c>
      <c r="N14">
        <f>AVERAGE(M14:M18)</f>
        <v>574.29566101132764</v>
      </c>
    </row>
    <row r="15" spans="1:14" x14ac:dyDescent="0.25">
      <c r="A15" s="2">
        <v>44409</v>
      </c>
      <c r="B15">
        <v>12</v>
      </c>
      <c r="C15">
        <v>1451</v>
      </c>
      <c r="D15">
        <v>33</v>
      </c>
      <c r="E15">
        <f t="shared" si="1"/>
        <v>43969.696969696968</v>
      </c>
      <c r="G15" s="2">
        <v>44410</v>
      </c>
      <c r="H15">
        <v>12</v>
      </c>
      <c r="I15">
        <v>1146</v>
      </c>
      <c r="J15">
        <v>33</v>
      </c>
      <c r="K15">
        <f t="shared" si="0"/>
        <v>34727.272727272728</v>
      </c>
      <c r="L15">
        <f t="shared" si="3"/>
        <v>9242.4242424242402</v>
      </c>
      <c r="M15">
        <f t="shared" si="4"/>
        <v>478.05725056892715</v>
      </c>
    </row>
    <row r="16" spans="1:14" x14ac:dyDescent="0.25">
      <c r="A16" s="2">
        <v>44409</v>
      </c>
      <c r="B16">
        <v>13</v>
      </c>
      <c r="C16">
        <v>1434</v>
      </c>
      <c r="D16">
        <v>33</v>
      </c>
      <c r="E16">
        <f t="shared" si="1"/>
        <v>43454.545454545456</v>
      </c>
      <c r="G16" s="2">
        <v>44410</v>
      </c>
      <c r="H16">
        <v>13</v>
      </c>
      <c r="I16">
        <v>910</v>
      </c>
      <c r="J16">
        <v>33</v>
      </c>
      <c r="K16">
        <f t="shared" si="0"/>
        <v>27575.757575757576</v>
      </c>
      <c r="L16">
        <f t="shared" si="3"/>
        <v>15878.78787878788</v>
      </c>
      <c r="M16">
        <f t="shared" si="4"/>
        <v>821.31803048563245</v>
      </c>
    </row>
    <row r="17" spans="1:13" x14ac:dyDescent="0.25">
      <c r="A17" s="2">
        <v>44409</v>
      </c>
      <c r="B17">
        <v>14</v>
      </c>
      <c r="C17">
        <v>1326</v>
      </c>
      <c r="D17">
        <v>33</v>
      </c>
      <c r="E17">
        <f t="shared" si="1"/>
        <v>40181.818181818177</v>
      </c>
      <c r="G17" s="2">
        <v>44410</v>
      </c>
      <c r="H17">
        <v>14</v>
      </c>
      <c r="I17">
        <v>926</v>
      </c>
      <c r="J17">
        <v>33</v>
      </c>
      <c r="K17">
        <f t="shared" si="0"/>
        <v>28060.606060606064</v>
      </c>
      <c r="L17">
        <f t="shared" si="3"/>
        <v>12121.212121212113</v>
      </c>
      <c r="M17">
        <f t="shared" si="4"/>
        <v>626.96032861498611</v>
      </c>
    </row>
    <row r="18" spans="1:13" x14ac:dyDescent="0.25">
      <c r="A18" s="2">
        <v>44409</v>
      </c>
      <c r="B18">
        <v>15</v>
      </c>
      <c r="C18">
        <v>1368</v>
      </c>
      <c r="D18">
        <v>33</v>
      </c>
      <c r="E18">
        <f t="shared" si="1"/>
        <v>41454.545454545456</v>
      </c>
      <c r="G18" s="2">
        <v>44410</v>
      </c>
      <c r="H18">
        <v>15</v>
      </c>
      <c r="I18">
        <v>1079</v>
      </c>
      <c r="J18">
        <v>33</v>
      </c>
      <c r="K18">
        <f t="shared" si="0"/>
        <v>32696.969696969696</v>
      </c>
      <c r="L18">
        <f t="shared" si="3"/>
        <v>8757.5757575757598</v>
      </c>
      <c r="M18">
        <f t="shared" si="4"/>
        <v>452.97883742432793</v>
      </c>
    </row>
    <row r="27" spans="1:13" x14ac:dyDescent="0.25">
      <c r="C27" s="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O1" workbookViewId="0">
      <selection activeCell="U12" sqref="U12"/>
    </sheetView>
  </sheetViews>
  <sheetFormatPr defaultRowHeight="15" x14ac:dyDescent="0.25"/>
  <cols>
    <col min="1" max="1" width="10.7109375" bestFit="1" customWidth="1"/>
    <col min="2" max="2" width="20.140625" customWidth="1"/>
    <col min="19" max="19" width="17.85546875" customWidth="1"/>
  </cols>
  <sheetData>
    <row r="1" spans="1:25" x14ac:dyDescent="0.25">
      <c r="B1" s="3"/>
      <c r="C1" t="s">
        <v>4</v>
      </c>
      <c r="D1" s="8"/>
      <c r="F1" s="4"/>
      <c r="G1" t="s">
        <v>4</v>
      </c>
      <c r="K1" s="2"/>
    </row>
    <row r="2" spans="1:25" x14ac:dyDescent="0.25">
      <c r="A2" s="5"/>
      <c r="B2" s="3"/>
      <c r="C2" t="s">
        <v>5</v>
      </c>
      <c r="D2" s="8"/>
      <c r="F2" s="5"/>
      <c r="G2" t="s">
        <v>5</v>
      </c>
      <c r="J2" t="s">
        <v>9</v>
      </c>
      <c r="K2" t="s">
        <v>60</v>
      </c>
    </row>
    <row r="3" spans="1:25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H3" t="s">
        <v>1</v>
      </c>
      <c r="I3" t="s">
        <v>6</v>
      </c>
      <c r="J3" t="s">
        <v>10</v>
      </c>
      <c r="K3" s="5"/>
    </row>
    <row r="4" spans="1:25" x14ac:dyDescent="0.25">
      <c r="A4" s="2">
        <v>41561</v>
      </c>
      <c r="B4" s="3" t="s">
        <v>118</v>
      </c>
      <c r="C4">
        <v>119</v>
      </c>
      <c r="D4" s="8">
        <v>33</v>
      </c>
      <c r="E4">
        <f>+C4/D4*1000</f>
        <v>3606.060606060606</v>
      </c>
      <c r="G4">
        <v>179</v>
      </c>
      <c r="H4">
        <v>33</v>
      </c>
      <c r="I4">
        <f>+G4/H4*1000</f>
        <v>5424.242424242424</v>
      </c>
      <c r="J4">
        <f t="shared" ref="J4:J11" si="0">+E4-I4</f>
        <v>-1818.181818181818</v>
      </c>
      <c r="K4">
        <f t="shared" ref="K4:K12" si="1">+J4/E4*100</f>
        <v>-50.420168067226889</v>
      </c>
    </row>
    <row r="5" spans="1:25" x14ac:dyDescent="0.25">
      <c r="A5" s="2">
        <v>41561</v>
      </c>
      <c r="B5" s="3" t="s">
        <v>119</v>
      </c>
      <c r="C5" s="11">
        <v>133</v>
      </c>
      <c r="D5" s="8">
        <v>33</v>
      </c>
      <c r="E5">
        <f t="shared" ref="E5:E11" si="2">+C5/D5*1000</f>
        <v>4030.3030303030305</v>
      </c>
      <c r="G5">
        <v>123</v>
      </c>
      <c r="H5">
        <v>33</v>
      </c>
      <c r="I5">
        <f t="shared" ref="I5:I12" si="3">+G5/H5*1000</f>
        <v>3727.272727272727</v>
      </c>
      <c r="J5">
        <f t="shared" si="0"/>
        <v>303.03030303030346</v>
      </c>
      <c r="K5">
        <f t="shared" si="1"/>
        <v>7.5187969924812137</v>
      </c>
    </row>
    <row r="6" spans="1:25" x14ac:dyDescent="0.25">
      <c r="A6" s="2">
        <v>41561</v>
      </c>
      <c r="B6" s="3" t="s">
        <v>116</v>
      </c>
      <c r="C6" s="11">
        <v>159</v>
      </c>
      <c r="D6" s="8">
        <v>33</v>
      </c>
      <c r="E6">
        <f t="shared" si="2"/>
        <v>4818.181818181818</v>
      </c>
      <c r="G6">
        <v>100</v>
      </c>
      <c r="H6">
        <v>33</v>
      </c>
      <c r="I6">
        <f t="shared" si="3"/>
        <v>3030.3030303030305</v>
      </c>
      <c r="J6">
        <f t="shared" si="0"/>
        <v>1787.8787878787875</v>
      </c>
      <c r="K6">
        <f t="shared" si="1"/>
        <v>37.1069182389937</v>
      </c>
      <c r="T6" t="s">
        <v>174</v>
      </c>
    </row>
    <row r="7" spans="1:25" x14ac:dyDescent="0.25">
      <c r="A7" s="2">
        <v>41561</v>
      </c>
      <c r="B7" s="3" t="s">
        <v>117</v>
      </c>
      <c r="C7" s="11">
        <v>143</v>
      </c>
      <c r="D7" s="14">
        <v>33</v>
      </c>
      <c r="E7" s="11">
        <f t="shared" si="2"/>
        <v>4333.333333333333</v>
      </c>
      <c r="F7" s="11"/>
      <c r="G7" s="11">
        <v>93</v>
      </c>
      <c r="H7" s="11">
        <v>33</v>
      </c>
      <c r="I7">
        <f t="shared" si="3"/>
        <v>2818.1818181818185</v>
      </c>
      <c r="J7">
        <f t="shared" si="0"/>
        <v>1515.1515151515146</v>
      </c>
      <c r="K7">
        <f t="shared" si="1"/>
        <v>34.965034965034953</v>
      </c>
      <c r="T7" t="s">
        <v>175</v>
      </c>
      <c r="U7" t="s">
        <v>176</v>
      </c>
    </row>
    <row r="8" spans="1:25" x14ac:dyDescent="0.25">
      <c r="A8" s="2">
        <v>41561</v>
      </c>
      <c r="B8" s="3" t="s">
        <v>113</v>
      </c>
      <c r="C8" s="11">
        <v>137</v>
      </c>
      <c r="D8" s="14">
        <v>33</v>
      </c>
      <c r="E8" s="11">
        <f t="shared" si="2"/>
        <v>4151.515151515151</v>
      </c>
      <c r="F8" s="11"/>
      <c r="G8" s="11">
        <v>104</v>
      </c>
      <c r="H8" s="11">
        <v>33</v>
      </c>
      <c r="I8">
        <f t="shared" si="3"/>
        <v>3151.5151515151515</v>
      </c>
      <c r="J8">
        <f t="shared" si="0"/>
        <v>999.99999999999955</v>
      </c>
      <c r="K8">
        <f t="shared" si="1"/>
        <v>24.087591240875906</v>
      </c>
      <c r="T8" t="s">
        <v>0</v>
      </c>
      <c r="U8" t="s">
        <v>0</v>
      </c>
    </row>
    <row r="9" spans="1:25" x14ac:dyDescent="0.25">
      <c r="A9" s="2">
        <v>41561</v>
      </c>
      <c r="B9" s="3" t="s">
        <v>115</v>
      </c>
      <c r="C9" s="11">
        <v>76</v>
      </c>
      <c r="D9" s="14">
        <v>33</v>
      </c>
      <c r="E9" s="11">
        <f t="shared" si="2"/>
        <v>2303.030303030303</v>
      </c>
      <c r="F9" s="11"/>
      <c r="G9" s="11">
        <v>353</v>
      </c>
      <c r="H9" s="11">
        <v>33</v>
      </c>
      <c r="I9">
        <f t="shared" si="3"/>
        <v>10696.969696969698</v>
      </c>
      <c r="J9">
        <f t="shared" si="0"/>
        <v>-8393.9393939393958</v>
      </c>
      <c r="K9">
        <f t="shared" si="1"/>
        <v>-364.47368421052641</v>
      </c>
      <c r="O9">
        <v>7.5</v>
      </c>
      <c r="P9" t="s">
        <v>214</v>
      </c>
      <c r="Q9" t="s">
        <v>212</v>
      </c>
      <c r="R9" t="s">
        <v>218</v>
      </c>
      <c r="S9" t="s">
        <v>177</v>
      </c>
      <c r="T9">
        <v>141</v>
      </c>
      <c r="U9" s="1">
        <v>5164</v>
      </c>
      <c r="X9">
        <v>296</v>
      </c>
      <c r="Y9" s="1">
        <v>2088</v>
      </c>
    </row>
    <row r="10" spans="1:25" x14ac:dyDescent="0.25">
      <c r="A10" s="2">
        <v>41561</v>
      </c>
      <c r="B10" s="3" t="s">
        <v>114</v>
      </c>
      <c r="C10" s="11">
        <v>266</v>
      </c>
      <c r="D10" s="14">
        <v>33</v>
      </c>
      <c r="E10" s="11">
        <f t="shared" si="2"/>
        <v>8060.606060606061</v>
      </c>
      <c r="F10" s="11"/>
      <c r="G10" s="11">
        <v>73</v>
      </c>
      <c r="H10" s="11">
        <v>33</v>
      </c>
      <c r="I10">
        <f t="shared" si="3"/>
        <v>2212.121212121212</v>
      </c>
      <c r="J10">
        <f t="shared" si="0"/>
        <v>5848.484848484849</v>
      </c>
      <c r="K10">
        <f t="shared" si="1"/>
        <v>72.556390977443613</v>
      </c>
      <c r="O10">
        <v>7.5</v>
      </c>
      <c r="P10" t="s">
        <v>214</v>
      </c>
      <c r="Q10" t="s">
        <v>213</v>
      </c>
      <c r="R10" t="s">
        <v>218</v>
      </c>
      <c r="S10" t="s">
        <v>178</v>
      </c>
      <c r="T10">
        <v>78</v>
      </c>
      <c r="U10" s="1">
        <v>2046</v>
      </c>
      <c r="X10">
        <v>70</v>
      </c>
      <c r="Y10">
        <v>827</v>
      </c>
    </row>
    <row r="11" spans="1:25" x14ac:dyDescent="0.25">
      <c r="A11" s="2">
        <v>41561</v>
      </c>
      <c r="B11" s="3" t="s">
        <v>112</v>
      </c>
      <c r="C11" s="11">
        <v>320</v>
      </c>
      <c r="D11" s="14">
        <v>33</v>
      </c>
      <c r="E11" s="11">
        <f t="shared" si="2"/>
        <v>9696.9696969696979</v>
      </c>
      <c r="F11" s="11"/>
      <c r="G11" s="11">
        <v>583</v>
      </c>
      <c r="H11" s="11">
        <v>33</v>
      </c>
      <c r="I11">
        <f t="shared" si="3"/>
        <v>17666.666666666668</v>
      </c>
      <c r="J11">
        <f t="shared" si="0"/>
        <v>-7969.69696969697</v>
      </c>
      <c r="K11">
        <f t="shared" si="1"/>
        <v>-82.187499999999986</v>
      </c>
      <c r="O11">
        <v>7</v>
      </c>
      <c r="P11" t="s">
        <v>214</v>
      </c>
      <c r="Q11" t="s">
        <v>212</v>
      </c>
      <c r="R11" t="s">
        <v>218</v>
      </c>
      <c r="S11" t="s">
        <v>179</v>
      </c>
      <c r="T11">
        <v>296</v>
      </c>
      <c r="U11">
        <v>2088</v>
      </c>
    </row>
    <row r="12" spans="1:25" x14ac:dyDescent="0.25">
      <c r="A12" s="2">
        <v>41561</v>
      </c>
      <c r="B12" s="3" t="s">
        <v>120</v>
      </c>
      <c r="C12" s="11">
        <v>374</v>
      </c>
      <c r="D12" s="14">
        <v>33</v>
      </c>
      <c r="E12" s="11">
        <f>+C12/D12*1000</f>
        <v>11333.333333333334</v>
      </c>
      <c r="F12" s="11"/>
      <c r="G12" s="11">
        <v>93</v>
      </c>
      <c r="H12" s="11">
        <v>33</v>
      </c>
      <c r="I12">
        <f t="shared" si="3"/>
        <v>2818.1818181818185</v>
      </c>
      <c r="J12">
        <f>+E12-I12</f>
        <v>8515.1515151515159</v>
      </c>
      <c r="K12">
        <f t="shared" si="1"/>
        <v>75.133689839572199</v>
      </c>
      <c r="O12">
        <v>7</v>
      </c>
      <c r="P12" t="s">
        <v>214</v>
      </c>
      <c r="Q12" t="s">
        <v>213</v>
      </c>
      <c r="R12" t="s">
        <v>218</v>
      </c>
      <c r="S12" t="s">
        <v>180</v>
      </c>
      <c r="T12">
        <v>70</v>
      </c>
      <c r="U12">
        <v>827</v>
      </c>
    </row>
    <row r="13" spans="1:25" x14ac:dyDescent="0.25">
      <c r="A13" s="2"/>
      <c r="B13" s="3"/>
      <c r="C13" s="11"/>
      <c r="D13" s="14"/>
      <c r="E13" s="11"/>
      <c r="F13" s="11"/>
      <c r="G13" s="11"/>
      <c r="H13" s="11"/>
      <c r="O13">
        <v>8</v>
      </c>
      <c r="P13" t="s">
        <v>214</v>
      </c>
      <c r="Q13" t="s">
        <v>212</v>
      </c>
      <c r="R13" t="s">
        <v>219</v>
      </c>
      <c r="S13" t="s">
        <v>181</v>
      </c>
      <c r="T13">
        <v>95</v>
      </c>
      <c r="U13" s="1">
        <v>1972</v>
      </c>
    </row>
    <row r="14" spans="1:25" x14ac:dyDescent="0.25">
      <c r="A14" s="2"/>
      <c r="B14" s="3"/>
      <c r="C14" s="11"/>
      <c r="D14" s="14"/>
      <c r="E14" s="11"/>
      <c r="F14" s="11"/>
      <c r="G14" s="11"/>
      <c r="H14" s="11"/>
      <c r="O14">
        <v>8</v>
      </c>
      <c r="P14" t="s">
        <v>214</v>
      </c>
      <c r="Q14" t="s">
        <v>213</v>
      </c>
      <c r="R14" t="s">
        <v>219</v>
      </c>
      <c r="S14" t="s">
        <v>182</v>
      </c>
      <c r="T14">
        <v>72</v>
      </c>
      <c r="U14" s="1">
        <v>2410</v>
      </c>
    </row>
    <row r="15" spans="1:25" x14ac:dyDescent="0.25">
      <c r="A15" s="2">
        <v>41561</v>
      </c>
      <c r="B15" s="3" t="s">
        <v>118</v>
      </c>
      <c r="C15" s="11">
        <v>94</v>
      </c>
      <c r="D15" s="14">
        <v>33</v>
      </c>
      <c r="E15" s="11">
        <f t="shared" ref="E15" si="4">+C15/D15*1000</f>
        <v>2848.4848484848485</v>
      </c>
      <c r="F15" s="11"/>
      <c r="G15" s="11">
        <v>82</v>
      </c>
      <c r="H15" s="11">
        <v>33</v>
      </c>
      <c r="I15">
        <f>+G15/H15*1000</f>
        <v>2484.848484848485</v>
      </c>
      <c r="J15">
        <f>+E15-I15</f>
        <v>363.63636363636351</v>
      </c>
      <c r="K15">
        <f t="shared" ref="K15:K22" si="5">+J15/E15*100</f>
        <v>12.765957446808507</v>
      </c>
      <c r="S15" t="s">
        <v>183</v>
      </c>
      <c r="T15" s="1">
        <v>11593</v>
      </c>
      <c r="U15" s="1">
        <v>19323</v>
      </c>
    </row>
    <row r="16" spans="1:25" x14ac:dyDescent="0.25">
      <c r="A16" s="2">
        <v>41561</v>
      </c>
      <c r="B16" s="3" t="s">
        <v>119</v>
      </c>
      <c r="C16" s="11">
        <v>111</v>
      </c>
      <c r="D16" s="14">
        <v>33</v>
      </c>
      <c r="E16" s="11">
        <f>+C16/D16*1000</f>
        <v>3363.636363636364</v>
      </c>
      <c r="F16" s="11"/>
      <c r="G16" s="11">
        <v>94</v>
      </c>
      <c r="H16" s="11">
        <v>33</v>
      </c>
      <c r="I16">
        <f>+G16/H16*1000</f>
        <v>2848.4848484848485</v>
      </c>
      <c r="J16">
        <f>+E16-I16</f>
        <v>515.15151515151547</v>
      </c>
      <c r="K16">
        <f t="shared" si="5"/>
        <v>15.315315315315322</v>
      </c>
      <c r="O16">
        <v>7.5</v>
      </c>
      <c r="P16" t="s">
        <v>215</v>
      </c>
      <c r="Q16" t="s">
        <v>212</v>
      </c>
      <c r="R16" t="s">
        <v>218</v>
      </c>
      <c r="S16" t="s">
        <v>184</v>
      </c>
      <c r="T16">
        <v>63</v>
      </c>
      <c r="U16" s="1">
        <v>2652</v>
      </c>
    </row>
    <row r="17" spans="1:21" x14ac:dyDescent="0.25">
      <c r="A17" s="2">
        <v>41561</v>
      </c>
      <c r="B17" s="3" t="s">
        <v>116</v>
      </c>
      <c r="C17" s="11">
        <v>103</v>
      </c>
      <c r="D17" s="14">
        <v>33</v>
      </c>
      <c r="E17" s="11">
        <f>+C17/D17*1000</f>
        <v>3121.212121212121</v>
      </c>
      <c r="F17" s="11"/>
      <c r="G17" s="11">
        <v>80</v>
      </c>
      <c r="H17" s="11">
        <v>33</v>
      </c>
      <c r="I17">
        <f t="shared" ref="I17:I22" si="6">+G17/H17*1000</f>
        <v>2424.2424242424245</v>
      </c>
      <c r="J17">
        <f t="shared" ref="J17:J22" si="7">+E17-I17</f>
        <v>696.96969696969654</v>
      </c>
      <c r="K17">
        <f t="shared" si="5"/>
        <v>22.330097087378629</v>
      </c>
      <c r="O17">
        <v>7.5</v>
      </c>
      <c r="P17" t="s">
        <v>214</v>
      </c>
      <c r="Q17" t="s">
        <v>213</v>
      </c>
      <c r="R17" t="s">
        <v>218</v>
      </c>
      <c r="S17" t="s">
        <v>185</v>
      </c>
      <c r="T17">
        <v>214</v>
      </c>
      <c r="U17" s="1">
        <v>1529</v>
      </c>
    </row>
    <row r="18" spans="1:21" x14ac:dyDescent="0.25">
      <c r="A18" s="2">
        <v>41561</v>
      </c>
      <c r="B18" s="3" t="s">
        <v>117</v>
      </c>
      <c r="C18" s="11">
        <v>151</v>
      </c>
      <c r="D18" s="14">
        <v>33</v>
      </c>
      <c r="E18" s="11">
        <f>+C18/D18*1000</f>
        <v>4575.757575757576</v>
      </c>
      <c r="F18" s="11"/>
      <c r="G18" s="11">
        <v>83</v>
      </c>
      <c r="H18" s="11">
        <v>33</v>
      </c>
      <c r="I18">
        <f>+G18/H18*1000</f>
        <v>2515.151515151515</v>
      </c>
      <c r="J18">
        <f t="shared" si="7"/>
        <v>2060.606060606061</v>
      </c>
      <c r="K18">
        <f t="shared" si="5"/>
        <v>45.033112582781463</v>
      </c>
      <c r="O18">
        <v>8</v>
      </c>
      <c r="P18" t="s">
        <v>215</v>
      </c>
      <c r="Q18" t="s">
        <v>212</v>
      </c>
      <c r="R18" t="s">
        <v>219</v>
      </c>
      <c r="S18" t="s">
        <v>186</v>
      </c>
      <c r="T18">
        <v>122</v>
      </c>
      <c r="U18" s="1">
        <v>6152</v>
      </c>
    </row>
    <row r="19" spans="1:21" x14ac:dyDescent="0.25">
      <c r="A19" s="2">
        <v>41561</v>
      </c>
      <c r="B19" s="3" t="s">
        <v>113</v>
      </c>
      <c r="C19" s="11">
        <v>84</v>
      </c>
      <c r="D19" s="14">
        <v>33</v>
      </c>
      <c r="E19" s="11">
        <f t="shared" ref="E19:E22" si="8">+C19/D19*1000</f>
        <v>2545.4545454545455</v>
      </c>
      <c r="F19" s="11"/>
      <c r="G19" s="11">
        <v>72</v>
      </c>
      <c r="H19" s="11">
        <v>33</v>
      </c>
      <c r="I19">
        <f t="shared" si="6"/>
        <v>2181.8181818181815</v>
      </c>
      <c r="J19">
        <f t="shared" si="7"/>
        <v>363.63636363636397</v>
      </c>
      <c r="K19">
        <f t="shared" si="5"/>
        <v>14.285714285714299</v>
      </c>
      <c r="O19">
        <v>8</v>
      </c>
      <c r="P19" t="s">
        <v>214</v>
      </c>
      <c r="Q19" t="s">
        <v>213</v>
      </c>
      <c r="R19" t="s">
        <v>219</v>
      </c>
      <c r="S19" t="s">
        <v>187</v>
      </c>
      <c r="T19">
        <v>97</v>
      </c>
      <c r="U19" s="1">
        <v>3421</v>
      </c>
    </row>
    <row r="20" spans="1:21" x14ac:dyDescent="0.25">
      <c r="A20" s="2">
        <v>41561</v>
      </c>
      <c r="B20" s="3" t="s">
        <v>115</v>
      </c>
      <c r="C20" s="11">
        <v>113</v>
      </c>
      <c r="D20" s="14">
        <v>33</v>
      </c>
      <c r="E20" s="11">
        <f t="shared" si="8"/>
        <v>3424.2424242424245</v>
      </c>
      <c r="F20" s="11"/>
      <c r="G20" s="11">
        <v>61</v>
      </c>
      <c r="H20" s="11">
        <v>33</v>
      </c>
      <c r="I20">
        <f t="shared" si="6"/>
        <v>1848.4848484848485</v>
      </c>
      <c r="J20">
        <f t="shared" si="7"/>
        <v>1575.757575757576</v>
      </c>
      <c r="K20">
        <f t="shared" si="5"/>
        <v>46.017699115044252</v>
      </c>
      <c r="S20" t="s">
        <v>188</v>
      </c>
      <c r="T20">
        <v>131</v>
      </c>
      <c r="U20" s="1">
        <v>2318</v>
      </c>
    </row>
    <row r="21" spans="1:21" x14ac:dyDescent="0.25">
      <c r="A21" s="2">
        <v>41561</v>
      </c>
      <c r="B21" s="3" t="s">
        <v>114</v>
      </c>
      <c r="C21" s="11">
        <v>84</v>
      </c>
      <c r="D21" s="14">
        <v>33</v>
      </c>
      <c r="E21" s="11">
        <f t="shared" si="8"/>
        <v>2545.4545454545455</v>
      </c>
      <c r="F21" s="11"/>
      <c r="G21" s="11">
        <v>57</v>
      </c>
      <c r="H21" s="11">
        <v>33</v>
      </c>
      <c r="I21">
        <f t="shared" si="6"/>
        <v>1727.2727272727273</v>
      </c>
      <c r="J21">
        <f t="shared" si="7"/>
        <v>818.18181818181824</v>
      </c>
      <c r="K21">
        <f t="shared" si="5"/>
        <v>32.142857142857146</v>
      </c>
      <c r="O21">
        <v>7.5</v>
      </c>
      <c r="P21" t="s">
        <v>216</v>
      </c>
      <c r="Q21" t="s">
        <v>212</v>
      </c>
      <c r="R21" t="s">
        <v>218</v>
      </c>
      <c r="S21" t="s">
        <v>189</v>
      </c>
      <c r="T21">
        <v>192</v>
      </c>
      <c r="U21" s="1">
        <v>2355</v>
      </c>
    </row>
    <row r="22" spans="1:21" x14ac:dyDescent="0.25">
      <c r="A22" s="2">
        <v>41561</v>
      </c>
      <c r="B22" s="3" t="s">
        <v>112</v>
      </c>
      <c r="C22" s="11">
        <v>58</v>
      </c>
      <c r="D22" s="14">
        <v>33</v>
      </c>
      <c r="E22" s="11">
        <f t="shared" si="8"/>
        <v>1757.5757575757575</v>
      </c>
      <c r="F22" s="11"/>
      <c r="G22" s="11">
        <v>57</v>
      </c>
      <c r="H22" s="11">
        <v>33</v>
      </c>
      <c r="I22">
        <f t="shared" si="6"/>
        <v>1727.2727272727273</v>
      </c>
      <c r="J22">
        <f t="shared" si="7"/>
        <v>30.303030303030255</v>
      </c>
      <c r="K22">
        <f t="shared" si="5"/>
        <v>1.72413793103448</v>
      </c>
      <c r="O22">
        <v>7.5</v>
      </c>
      <c r="P22" t="s">
        <v>216</v>
      </c>
      <c r="Q22" t="s">
        <v>213</v>
      </c>
      <c r="R22" t="s">
        <v>218</v>
      </c>
      <c r="S22" t="s">
        <v>190</v>
      </c>
      <c r="T22">
        <v>52</v>
      </c>
      <c r="U22" s="1">
        <v>1516</v>
      </c>
    </row>
    <row r="23" spans="1:21" x14ac:dyDescent="0.25">
      <c r="A23" s="2"/>
      <c r="B23" s="3"/>
      <c r="C23" s="11"/>
      <c r="D23" s="14"/>
      <c r="E23" s="11"/>
      <c r="F23" s="11"/>
      <c r="G23" s="11"/>
      <c r="H23" s="11"/>
      <c r="O23">
        <v>8</v>
      </c>
      <c r="P23" t="s">
        <v>216</v>
      </c>
      <c r="Q23" t="s">
        <v>212</v>
      </c>
      <c r="R23" t="s">
        <v>219</v>
      </c>
      <c r="S23" t="s">
        <v>191</v>
      </c>
      <c r="T23">
        <v>110</v>
      </c>
      <c r="U23" s="1">
        <v>3112</v>
      </c>
    </row>
    <row r="24" spans="1:21" x14ac:dyDescent="0.25">
      <c r="A24" s="2">
        <v>41561</v>
      </c>
      <c r="B24" s="8" t="s">
        <v>109</v>
      </c>
      <c r="C24" s="11">
        <v>9049</v>
      </c>
      <c r="D24" s="14">
        <v>33</v>
      </c>
      <c r="E24" s="11">
        <f>+C24/D24*1000</f>
        <v>274212.12121212122</v>
      </c>
      <c r="F24" s="11"/>
      <c r="G24" s="11"/>
      <c r="H24" s="11"/>
      <c r="O24">
        <v>8</v>
      </c>
      <c r="P24" t="s">
        <v>216</v>
      </c>
      <c r="Q24" t="s">
        <v>213</v>
      </c>
      <c r="R24" t="s">
        <v>219</v>
      </c>
      <c r="S24" t="s">
        <v>192</v>
      </c>
      <c r="T24">
        <v>77</v>
      </c>
      <c r="U24" s="1">
        <v>1886</v>
      </c>
    </row>
    <row r="25" spans="1:21" x14ac:dyDescent="0.25">
      <c r="B25" s="8" t="s">
        <v>145</v>
      </c>
      <c r="C25" s="11"/>
      <c r="D25" s="14"/>
      <c r="E25" s="11"/>
      <c r="F25" s="11"/>
      <c r="G25" s="15"/>
      <c r="H25" s="11"/>
      <c r="O25">
        <v>7.5</v>
      </c>
      <c r="P25" t="s">
        <v>217</v>
      </c>
      <c r="Q25" t="s">
        <v>212</v>
      </c>
      <c r="R25" t="s">
        <v>218</v>
      </c>
      <c r="S25" t="s">
        <v>193</v>
      </c>
      <c r="T25">
        <v>346</v>
      </c>
      <c r="U25" s="1">
        <v>10363</v>
      </c>
    </row>
    <row r="26" spans="1:21" x14ac:dyDescent="0.25">
      <c r="A26" s="2"/>
      <c r="B26" s="8" t="s">
        <v>149</v>
      </c>
      <c r="C26" s="11"/>
      <c r="D26" s="14">
        <v>33</v>
      </c>
      <c r="E26" s="11">
        <f>+C26/D26*1000</f>
        <v>0</v>
      </c>
      <c r="F26" s="11"/>
      <c r="G26" s="11"/>
      <c r="H26" s="11"/>
      <c r="I26">
        <f>AVERAGE(I4:I12)</f>
        <v>5727.272727272727</v>
      </c>
      <c r="J26" t="s">
        <v>161</v>
      </c>
      <c r="O26">
        <v>7.5</v>
      </c>
      <c r="P26" t="s">
        <v>217</v>
      </c>
      <c r="Q26" t="s">
        <v>213</v>
      </c>
      <c r="R26" t="s">
        <v>218</v>
      </c>
      <c r="S26" t="s">
        <v>194</v>
      </c>
      <c r="T26">
        <v>301</v>
      </c>
      <c r="U26" s="1">
        <v>6354</v>
      </c>
    </row>
    <row r="27" spans="1:21" x14ac:dyDescent="0.25">
      <c r="B27" s="8" t="s">
        <v>150</v>
      </c>
      <c r="C27" s="11"/>
      <c r="D27" s="14">
        <v>33</v>
      </c>
      <c r="E27" s="11">
        <f>+C27/D27*1000</f>
        <v>0</v>
      </c>
      <c r="F27" s="11"/>
      <c r="G27" s="11"/>
      <c r="H27" s="11"/>
      <c r="I27">
        <f>AVERAGE(E4:E12)</f>
        <v>5814.8148148148148</v>
      </c>
      <c r="J27" t="s">
        <v>160</v>
      </c>
      <c r="O27">
        <v>8</v>
      </c>
      <c r="P27" t="s">
        <v>217</v>
      </c>
      <c r="Q27" t="s">
        <v>212</v>
      </c>
      <c r="R27" t="s">
        <v>219</v>
      </c>
      <c r="S27" t="s">
        <v>195</v>
      </c>
      <c r="T27">
        <v>142</v>
      </c>
      <c r="U27" s="1">
        <v>1892</v>
      </c>
    </row>
    <row r="28" spans="1:21" x14ac:dyDescent="0.25">
      <c r="B28" s="8" t="s">
        <v>157</v>
      </c>
      <c r="C28" s="11">
        <v>182</v>
      </c>
      <c r="D28" s="14">
        <v>33</v>
      </c>
      <c r="E28" s="11">
        <f>+C28/D28*1000</f>
        <v>5515.1515151515159</v>
      </c>
      <c r="F28" s="11"/>
      <c r="G28" s="11"/>
      <c r="H28" s="11"/>
      <c r="I28" s="11"/>
      <c r="J28" s="11"/>
      <c r="K28" s="11"/>
      <c r="L28" s="11"/>
      <c r="M28" s="11"/>
      <c r="N28" s="11"/>
      <c r="O28" s="11">
        <v>8</v>
      </c>
      <c r="P28" t="s">
        <v>217</v>
      </c>
      <c r="Q28" t="s">
        <v>213</v>
      </c>
      <c r="R28" t="s">
        <v>219</v>
      </c>
      <c r="S28" t="s">
        <v>196</v>
      </c>
      <c r="T28">
        <v>80</v>
      </c>
      <c r="U28" s="1">
        <v>2399</v>
      </c>
    </row>
    <row r="29" spans="1:21" x14ac:dyDescent="0.25">
      <c r="B29" s="8" t="s">
        <v>158</v>
      </c>
      <c r="C29" s="11"/>
      <c r="D29" s="14">
        <v>33</v>
      </c>
      <c r="E29" s="11">
        <f>+C29/D29*1000</f>
        <v>0</v>
      </c>
      <c r="F29" s="11"/>
      <c r="G29" s="11"/>
      <c r="H29" s="11"/>
      <c r="O29" s="11">
        <v>8</v>
      </c>
      <c r="P29" t="s">
        <v>214</v>
      </c>
      <c r="Q29" t="s">
        <v>212</v>
      </c>
      <c r="R29" t="s">
        <v>218</v>
      </c>
      <c r="S29" t="s">
        <v>197</v>
      </c>
      <c r="T29">
        <v>93</v>
      </c>
      <c r="U29" s="1">
        <v>1316</v>
      </c>
    </row>
    <row r="30" spans="1:21" x14ac:dyDescent="0.25">
      <c r="F30" s="11"/>
      <c r="G30" s="11"/>
      <c r="H30" s="11"/>
      <c r="O30" s="11">
        <v>8</v>
      </c>
      <c r="P30" t="s">
        <v>214</v>
      </c>
      <c r="Q30" t="s">
        <v>213</v>
      </c>
      <c r="R30" t="s">
        <v>218</v>
      </c>
      <c r="S30" t="s">
        <v>198</v>
      </c>
      <c r="T30">
        <v>145</v>
      </c>
      <c r="U30" s="1">
        <v>2725</v>
      </c>
    </row>
    <row r="31" spans="1:21" x14ac:dyDescent="0.25">
      <c r="F31" s="11"/>
      <c r="G31" s="11"/>
      <c r="H31" s="11"/>
      <c r="O31" s="11">
        <v>7.5</v>
      </c>
      <c r="P31" t="s">
        <v>214</v>
      </c>
      <c r="Q31" t="s">
        <v>212</v>
      </c>
      <c r="R31" t="s">
        <v>219</v>
      </c>
      <c r="S31" t="s">
        <v>199</v>
      </c>
      <c r="T31">
        <v>99</v>
      </c>
      <c r="U31" s="1">
        <v>3835</v>
      </c>
    </row>
    <row r="32" spans="1:21" x14ac:dyDescent="0.25">
      <c r="B32" s="8"/>
      <c r="C32" s="11"/>
      <c r="D32" s="14"/>
      <c r="E32" s="11"/>
      <c r="F32" s="11"/>
      <c r="G32" s="11">
        <f>AVERAGE(E4:E12)</f>
        <v>5814.8148148148148</v>
      </c>
      <c r="H32" s="11"/>
      <c r="O32" s="11">
        <v>7.5</v>
      </c>
      <c r="P32" t="s">
        <v>214</v>
      </c>
      <c r="Q32" t="s">
        <v>213</v>
      </c>
      <c r="R32" t="s">
        <v>219</v>
      </c>
      <c r="S32" t="s">
        <v>200</v>
      </c>
      <c r="T32">
        <v>60</v>
      </c>
      <c r="U32" s="1">
        <v>1421</v>
      </c>
    </row>
    <row r="33" spans="1:21" x14ac:dyDescent="0.25">
      <c r="B33" s="8"/>
      <c r="C33" s="11"/>
      <c r="D33" s="14"/>
      <c r="E33" s="11"/>
      <c r="F33" s="11"/>
      <c r="G33" s="11">
        <f>AVERAGE(E15:E22)</f>
        <v>3022.7272727272721</v>
      </c>
      <c r="H33" s="11"/>
      <c r="O33" s="11">
        <v>8</v>
      </c>
      <c r="P33" t="s">
        <v>215</v>
      </c>
      <c r="Q33" t="s">
        <v>212</v>
      </c>
      <c r="R33" t="s">
        <v>218</v>
      </c>
      <c r="S33" t="s">
        <v>201</v>
      </c>
      <c r="T33">
        <v>95</v>
      </c>
      <c r="U33" s="1">
        <v>1772</v>
      </c>
    </row>
    <row r="34" spans="1:21" x14ac:dyDescent="0.25">
      <c r="B34" s="8"/>
      <c r="C34" s="11"/>
      <c r="D34" s="14"/>
      <c r="E34" s="11"/>
      <c r="F34" s="11"/>
      <c r="G34" s="11"/>
      <c r="H34" s="11"/>
      <c r="O34" s="11">
        <v>8</v>
      </c>
      <c r="P34" t="s">
        <v>215</v>
      </c>
      <c r="Q34" t="s">
        <v>213</v>
      </c>
      <c r="R34" t="s">
        <v>218</v>
      </c>
      <c r="S34" t="s">
        <v>202</v>
      </c>
      <c r="T34">
        <v>100</v>
      </c>
      <c r="U34" s="1">
        <v>1712</v>
      </c>
    </row>
    <row r="35" spans="1:21" x14ac:dyDescent="0.25">
      <c r="B35" s="8"/>
      <c r="C35" s="11"/>
      <c r="D35" s="14"/>
      <c r="E35" s="11"/>
      <c r="F35" s="11"/>
      <c r="G35" s="11"/>
      <c r="H35" s="11"/>
      <c r="O35" s="11">
        <v>7.5</v>
      </c>
      <c r="P35" t="s">
        <v>215</v>
      </c>
      <c r="Q35" t="s">
        <v>212</v>
      </c>
      <c r="R35" t="s">
        <v>219</v>
      </c>
      <c r="S35" t="s">
        <v>203</v>
      </c>
      <c r="T35">
        <v>123</v>
      </c>
      <c r="U35" s="1">
        <v>6492</v>
      </c>
    </row>
    <row r="36" spans="1:21" x14ac:dyDescent="0.25">
      <c r="B36" s="3"/>
      <c r="D36" s="8"/>
      <c r="E36">
        <f>AVERAGE(E4:E12)</f>
        <v>5814.8148148148148</v>
      </c>
      <c r="I36" s="11"/>
      <c r="J36" s="11"/>
      <c r="K36" s="11"/>
      <c r="L36" s="11"/>
      <c r="M36" s="11"/>
      <c r="N36" s="11"/>
      <c r="O36" s="11">
        <v>7.5</v>
      </c>
      <c r="P36" t="s">
        <v>215</v>
      </c>
      <c r="Q36" t="s">
        <v>213</v>
      </c>
      <c r="R36" t="s">
        <v>219</v>
      </c>
      <c r="S36" t="s">
        <v>204</v>
      </c>
      <c r="T36">
        <v>75</v>
      </c>
      <c r="U36" s="1">
        <v>3006</v>
      </c>
    </row>
    <row r="37" spans="1:21" x14ac:dyDescent="0.25">
      <c r="A37" s="6"/>
      <c r="B37" s="3"/>
      <c r="D37" s="8"/>
      <c r="E37">
        <f>AVERAGE(E15:E22)</f>
        <v>3022.7272727272721</v>
      </c>
      <c r="I37" s="11"/>
      <c r="J37" s="11"/>
      <c r="K37" s="11"/>
      <c r="L37" s="11"/>
      <c r="M37" s="11"/>
      <c r="N37" s="11"/>
      <c r="O37" s="11">
        <v>8</v>
      </c>
      <c r="P37" t="s">
        <v>216</v>
      </c>
      <c r="Q37" t="s">
        <v>212</v>
      </c>
      <c r="R37" t="s">
        <v>218</v>
      </c>
      <c r="S37" t="s">
        <v>205</v>
      </c>
      <c r="T37">
        <v>187</v>
      </c>
      <c r="U37" s="1">
        <v>2339</v>
      </c>
    </row>
    <row r="38" spans="1:21" x14ac:dyDescent="0.25">
      <c r="B38" s="3"/>
      <c r="D38" s="8"/>
      <c r="E38">
        <f>+(E37-E36)/E36</f>
        <v>-0.48016792125072388</v>
      </c>
      <c r="I38" s="11"/>
      <c r="J38" s="11"/>
      <c r="K38" s="11"/>
      <c r="L38" s="11"/>
      <c r="M38" s="11"/>
      <c r="N38" s="11"/>
      <c r="O38" s="11">
        <v>8</v>
      </c>
      <c r="P38" t="s">
        <v>216</v>
      </c>
      <c r="Q38" t="s">
        <v>213</v>
      </c>
      <c r="R38" t="s">
        <v>218</v>
      </c>
      <c r="S38" t="s">
        <v>206</v>
      </c>
      <c r="T38">
        <v>99</v>
      </c>
      <c r="U38" s="1">
        <v>1642</v>
      </c>
    </row>
    <row r="39" spans="1:21" x14ac:dyDescent="0.25">
      <c r="A39" t="s">
        <v>128</v>
      </c>
      <c r="B39" s="3"/>
      <c r="D39" s="8"/>
      <c r="O39" s="11">
        <v>7.5</v>
      </c>
      <c r="P39" t="s">
        <v>216</v>
      </c>
      <c r="Q39" t="s">
        <v>212</v>
      </c>
      <c r="R39" t="s">
        <v>219</v>
      </c>
      <c r="S39" t="s">
        <v>207</v>
      </c>
      <c r="T39">
        <v>105</v>
      </c>
      <c r="U39" s="1">
        <v>4002</v>
      </c>
    </row>
    <row r="40" spans="1:21" x14ac:dyDescent="0.25">
      <c r="B40" s="3"/>
      <c r="C40" t="s">
        <v>0</v>
      </c>
      <c r="D40" s="8" t="s">
        <v>1</v>
      </c>
      <c r="E40" t="s">
        <v>3</v>
      </c>
      <c r="F40" s="6"/>
      <c r="H40" t="s">
        <v>132</v>
      </c>
      <c r="O40" s="11">
        <v>7.5</v>
      </c>
      <c r="P40" t="s">
        <v>216</v>
      </c>
      <c r="Q40" t="s">
        <v>213</v>
      </c>
      <c r="R40" t="s">
        <v>219</v>
      </c>
      <c r="S40" t="s">
        <v>208</v>
      </c>
      <c r="T40">
        <v>67</v>
      </c>
      <c r="U40" s="1">
        <v>1502</v>
      </c>
    </row>
    <row r="41" spans="1:21" x14ac:dyDescent="0.25">
      <c r="B41" s="3"/>
      <c r="D41" s="8"/>
      <c r="H41" t="e">
        <f>(E42-E41)/E42*100</f>
        <v>#DIV/0!</v>
      </c>
      <c r="O41" s="11">
        <v>8</v>
      </c>
      <c r="P41" t="s">
        <v>217</v>
      </c>
      <c r="Q41" t="s">
        <v>212</v>
      </c>
      <c r="R41" t="s">
        <v>218</v>
      </c>
      <c r="S41" t="s">
        <v>209</v>
      </c>
      <c r="T41">
        <v>136</v>
      </c>
      <c r="U41" s="1">
        <v>1739</v>
      </c>
    </row>
    <row r="42" spans="1:21" x14ac:dyDescent="0.25">
      <c r="B42" s="3"/>
      <c r="D42" s="8"/>
      <c r="O42" s="11">
        <v>8</v>
      </c>
      <c r="P42" t="s">
        <v>217</v>
      </c>
      <c r="Q42" t="s">
        <v>213</v>
      </c>
      <c r="R42" t="s">
        <v>218</v>
      </c>
      <c r="S42" t="s">
        <v>210</v>
      </c>
      <c r="T42">
        <v>80</v>
      </c>
      <c r="U42" s="1">
        <v>1791</v>
      </c>
    </row>
    <row r="43" spans="1:21" x14ac:dyDescent="0.25">
      <c r="B43" s="3"/>
      <c r="D43" s="8"/>
      <c r="O43" s="11">
        <v>7.5</v>
      </c>
      <c r="P43" t="s">
        <v>217</v>
      </c>
      <c r="Q43" t="s">
        <v>212</v>
      </c>
      <c r="R43" t="s">
        <v>219</v>
      </c>
      <c r="S43" t="s">
        <v>211</v>
      </c>
      <c r="T43">
        <v>83</v>
      </c>
      <c r="U43" s="1">
        <v>3348</v>
      </c>
    </row>
    <row r="44" spans="1:21" x14ac:dyDescent="0.25">
      <c r="A44" t="s">
        <v>133</v>
      </c>
      <c r="B44" s="3"/>
      <c r="D44" s="8"/>
    </row>
    <row r="45" spans="1:21" x14ac:dyDescent="0.25">
      <c r="B45" s="3"/>
      <c r="D45" s="8"/>
    </row>
    <row r="46" spans="1:21" x14ac:dyDescent="0.25">
      <c r="B46" s="3"/>
      <c r="D46" s="8">
        <v>33</v>
      </c>
      <c r="E46">
        <f>+C46/D46*1000</f>
        <v>0</v>
      </c>
    </row>
    <row r="47" spans="1:21" x14ac:dyDescent="0.25">
      <c r="B47" s="3"/>
      <c r="D47" s="8"/>
    </row>
    <row r="48" spans="1:21" x14ac:dyDescent="0.25">
      <c r="B48" s="3"/>
      <c r="D48" s="8"/>
    </row>
    <row r="49" spans="2:4" x14ac:dyDescent="0.25">
      <c r="B49" s="3"/>
      <c r="D49" s="8">
        <f>40000*20</f>
        <v>800000</v>
      </c>
    </row>
    <row r="50" spans="2:4" x14ac:dyDescent="0.25">
      <c r="B50" s="3"/>
      <c r="D50" s="8" t="e">
        <f>+D49/E46</f>
        <v>#DIV/0!</v>
      </c>
    </row>
    <row r="51" spans="2:4" x14ac:dyDescent="0.25">
      <c r="B51" s="3"/>
      <c r="D51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5" zoomScaleNormal="85" workbookViewId="0">
      <selection activeCell="C24" sqref="C24"/>
    </sheetView>
  </sheetViews>
  <sheetFormatPr defaultRowHeight="15" x14ac:dyDescent="0.25"/>
  <cols>
    <col min="1" max="1" width="10.7109375" bestFit="1" customWidth="1"/>
    <col min="2" max="2" width="20.140625" customWidth="1"/>
  </cols>
  <sheetData>
    <row r="1" spans="1:11" x14ac:dyDescent="0.25">
      <c r="B1" s="3"/>
      <c r="C1" t="s">
        <v>4</v>
      </c>
      <c r="D1" s="8"/>
      <c r="F1" s="4"/>
      <c r="G1" t="s">
        <v>4</v>
      </c>
      <c r="K1" s="2"/>
    </row>
    <row r="2" spans="1:11" x14ac:dyDescent="0.25">
      <c r="A2" s="5"/>
      <c r="B2" s="3"/>
      <c r="C2" t="s">
        <v>5</v>
      </c>
      <c r="D2" s="8"/>
      <c r="F2" s="5"/>
      <c r="G2" t="s">
        <v>5</v>
      </c>
      <c r="J2" t="s">
        <v>9</v>
      </c>
      <c r="K2" t="s">
        <v>60</v>
      </c>
    </row>
    <row r="3" spans="1:11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H3" t="s">
        <v>1</v>
      </c>
      <c r="I3" t="s">
        <v>6</v>
      </c>
      <c r="J3" t="s">
        <v>10</v>
      </c>
      <c r="K3" s="5"/>
    </row>
    <row r="4" spans="1:11" x14ac:dyDescent="0.25">
      <c r="A4" s="2">
        <v>41561</v>
      </c>
      <c r="B4" s="3" t="s">
        <v>118</v>
      </c>
      <c r="C4">
        <v>96</v>
      </c>
      <c r="D4" s="8">
        <v>33</v>
      </c>
      <c r="E4">
        <f>+C4/D4*1000</f>
        <v>2909.090909090909</v>
      </c>
      <c r="G4">
        <v>88</v>
      </c>
      <c r="H4">
        <v>33</v>
      </c>
      <c r="I4">
        <f>+G4/H4*1000</f>
        <v>2666.6666666666665</v>
      </c>
      <c r="J4">
        <f t="shared" ref="J4:J11" si="0">+E4-I4</f>
        <v>242.42424242424249</v>
      </c>
      <c r="K4">
        <f t="shared" ref="K4:K12" si="1">+J4/E4*100</f>
        <v>8.3333333333333357</v>
      </c>
    </row>
    <row r="5" spans="1:11" x14ac:dyDescent="0.25">
      <c r="A5" s="2">
        <v>41561</v>
      </c>
      <c r="B5" s="3" t="s">
        <v>119</v>
      </c>
      <c r="C5" s="11">
        <v>160</v>
      </c>
      <c r="D5" s="8">
        <v>33</v>
      </c>
      <c r="E5">
        <f t="shared" ref="E5:E11" si="2">+C5/D5*1000</f>
        <v>4848.484848484849</v>
      </c>
      <c r="G5">
        <v>90</v>
      </c>
      <c r="H5">
        <v>33</v>
      </c>
      <c r="I5">
        <f t="shared" ref="I5:I12" si="3">+G5/H5*1000</f>
        <v>2727.272727272727</v>
      </c>
      <c r="J5">
        <f t="shared" si="0"/>
        <v>2121.2121212121219</v>
      </c>
      <c r="K5">
        <f t="shared" si="1"/>
        <v>43.750000000000014</v>
      </c>
    </row>
    <row r="6" spans="1:11" x14ac:dyDescent="0.25">
      <c r="A6" s="2">
        <v>41561</v>
      </c>
      <c r="B6" s="3" t="s">
        <v>116</v>
      </c>
      <c r="C6" s="11">
        <v>140</v>
      </c>
      <c r="D6" s="8">
        <v>33</v>
      </c>
      <c r="E6">
        <f t="shared" si="2"/>
        <v>4242.424242424242</v>
      </c>
      <c r="G6">
        <v>91</v>
      </c>
      <c r="H6">
        <v>33</v>
      </c>
      <c r="I6">
        <f t="shared" si="3"/>
        <v>2757.575757575758</v>
      </c>
      <c r="J6">
        <f t="shared" si="0"/>
        <v>1484.8484848484841</v>
      </c>
      <c r="K6">
        <f t="shared" si="1"/>
        <v>34.999999999999986</v>
      </c>
    </row>
    <row r="7" spans="1:11" x14ac:dyDescent="0.25">
      <c r="A7" s="2">
        <v>41561</v>
      </c>
      <c r="B7" s="3" t="s">
        <v>117</v>
      </c>
      <c r="C7" s="11">
        <v>191</v>
      </c>
      <c r="D7" s="14">
        <v>33</v>
      </c>
      <c r="E7" s="11">
        <f t="shared" si="2"/>
        <v>5787.878787878788</v>
      </c>
      <c r="F7" s="11"/>
      <c r="G7" s="11">
        <v>120</v>
      </c>
      <c r="H7" s="11">
        <v>33</v>
      </c>
      <c r="I7">
        <f t="shared" si="3"/>
        <v>3636.363636363636</v>
      </c>
      <c r="J7">
        <f t="shared" si="0"/>
        <v>2151.515151515152</v>
      </c>
      <c r="K7">
        <f t="shared" si="1"/>
        <v>37.172774869109951</v>
      </c>
    </row>
    <row r="8" spans="1:11" x14ac:dyDescent="0.25">
      <c r="A8" s="2">
        <v>41561</v>
      </c>
      <c r="B8" s="3" t="s">
        <v>113</v>
      </c>
      <c r="C8" s="11">
        <v>131</v>
      </c>
      <c r="D8" s="14">
        <v>33</v>
      </c>
      <c r="E8" s="11">
        <f t="shared" si="2"/>
        <v>3969.6969696969695</v>
      </c>
      <c r="F8" s="11"/>
      <c r="G8" s="11">
        <v>81</v>
      </c>
      <c r="H8" s="11">
        <v>33</v>
      </c>
      <c r="I8">
        <f t="shared" si="3"/>
        <v>2454.5454545454545</v>
      </c>
      <c r="J8">
        <f t="shared" si="0"/>
        <v>1515.151515151515</v>
      </c>
      <c r="K8">
        <f t="shared" si="1"/>
        <v>38.167938931297705</v>
      </c>
    </row>
    <row r="9" spans="1:11" x14ac:dyDescent="0.25">
      <c r="A9" s="2">
        <v>41561</v>
      </c>
      <c r="B9" s="3" t="s">
        <v>115</v>
      </c>
      <c r="C9" s="11">
        <v>121</v>
      </c>
      <c r="D9" s="14">
        <v>33</v>
      </c>
      <c r="E9" s="11">
        <f t="shared" si="2"/>
        <v>3666.6666666666665</v>
      </c>
      <c r="F9" s="11"/>
      <c r="G9" s="11">
        <v>56</v>
      </c>
      <c r="H9" s="11">
        <v>33</v>
      </c>
      <c r="I9">
        <f t="shared" si="3"/>
        <v>1696.969696969697</v>
      </c>
      <c r="J9">
        <f t="shared" si="0"/>
        <v>1969.6969696969695</v>
      </c>
      <c r="K9">
        <f t="shared" si="1"/>
        <v>53.719008264462808</v>
      </c>
    </row>
    <row r="10" spans="1:11" x14ac:dyDescent="0.25">
      <c r="A10" s="2">
        <v>41561</v>
      </c>
      <c r="B10" s="3" t="s">
        <v>114</v>
      </c>
      <c r="C10" s="11">
        <v>104</v>
      </c>
      <c r="D10" s="14">
        <v>33</v>
      </c>
      <c r="E10" s="11">
        <f t="shared" si="2"/>
        <v>3151.5151515151515</v>
      </c>
      <c r="F10" s="11"/>
      <c r="G10" s="11">
        <v>115</v>
      </c>
      <c r="H10" s="11">
        <v>33</v>
      </c>
      <c r="I10">
        <f t="shared" si="3"/>
        <v>3484.848484848485</v>
      </c>
      <c r="J10">
        <f t="shared" si="0"/>
        <v>-333.33333333333348</v>
      </c>
      <c r="K10">
        <f t="shared" si="1"/>
        <v>-10.576923076923082</v>
      </c>
    </row>
    <row r="11" spans="1:11" x14ac:dyDescent="0.25">
      <c r="A11" s="2">
        <v>41561</v>
      </c>
      <c r="B11" s="3" t="s">
        <v>112</v>
      </c>
      <c r="C11" s="11">
        <v>189</v>
      </c>
      <c r="D11" s="14">
        <v>33</v>
      </c>
      <c r="E11" s="11">
        <f t="shared" si="2"/>
        <v>5727.2727272727279</v>
      </c>
      <c r="F11" s="11"/>
      <c r="G11" s="11">
        <v>100</v>
      </c>
      <c r="H11" s="11">
        <v>33</v>
      </c>
      <c r="I11">
        <f t="shared" si="3"/>
        <v>3030.3030303030305</v>
      </c>
      <c r="J11">
        <f t="shared" si="0"/>
        <v>2696.9696969696975</v>
      </c>
      <c r="K11">
        <f t="shared" si="1"/>
        <v>47.089947089947096</v>
      </c>
    </row>
    <row r="12" spans="1:11" x14ac:dyDescent="0.25">
      <c r="A12" s="2">
        <v>41561</v>
      </c>
      <c r="B12" s="3" t="s">
        <v>120</v>
      </c>
      <c r="C12" s="11">
        <v>98</v>
      </c>
      <c r="D12" s="14">
        <v>33</v>
      </c>
      <c r="E12" s="11">
        <f>+C12/D12*1000</f>
        <v>2969.6969696969695</v>
      </c>
      <c r="F12" s="11"/>
      <c r="G12" s="11">
        <v>62</v>
      </c>
      <c r="H12" s="11">
        <v>33</v>
      </c>
      <c r="I12">
        <f t="shared" si="3"/>
        <v>1878.787878787879</v>
      </c>
      <c r="J12">
        <f>+E12-I12</f>
        <v>1090.9090909090905</v>
      </c>
      <c r="K12">
        <f t="shared" si="1"/>
        <v>36.73469387755101</v>
      </c>
    </row>
    <row r="13" spans="1:11" x14ac:dyDescent="0.25">
      <c r="A13" s="2"/>
      <c r="B13" s="3"/>
      <c r="C13" s="11"/>
      <c r="D13" s="14"/>
      <c r="E13" s="11"/>
      <c r="F13" s="11"/>
      <c r="G13" s="11"/>
      <c r="H13" s="11"/>
    </row>
    <row r="14" spans="1:11" x14ac:dyDescent="0.25">
      <c r="A14" s="2"/>
      <c r="B14" s="3"/>
      <c r="C14" s="11"/>
      <c r="D14" s="14"/>
      <c r="E14" s="11"/>
      <c r="F14" s="11"/>
      <c r="G14" s="11"/>
      <c r="H14" s="11"/>
    </row>
    <row r="15" spans="1:11" x14ac:dyDescent="0.25">
      <c r="A15" s="2">
        <v>41561</v>
      </c>
      <c r="B15" s="3" t="s">
        <v>118</v>
      </c>
      <c r="C15" s="11">
        <v>91</v>
      </c>
      <c r="D15" s="14">
        <v>33</v>
      </c>
      <c r="E15" s="11">
        <f t="shared" ref="E15" si="4">+C15/D15*1000</f>
        <v>2757.575757575758</v>
      </c>
      <c r="F15" s="11"/>
      <c r="G15" s="11">
        <v>87</v>
      </c>
      <c r="H15" s="11">
        <v>33</v>
      </c>
      <c r="I15">
        <f>+G15/H15*1000</f>
        <v>2636.363636363636</v>
      </c>
      <c r="J15">
        <f>+E15-I15</f>
        <v>121.21212121212193</v>
      </c>
      <c r="K15">
        <f t="shared" ref="K15:K22" si="5">+J15/E15*100</f>
        <v>4.3956043956044208</v>
      </c>
    </row>
    <row r="16" spans="1:11" x14ac:dyDescent="0.25">
      <c r="A16" s="2">
        <v>41561</v>
      </c>
      <c r="B16" s="3" t="s">
        <v>119</v>
      </c>
      <c r="C16" s="11">
        <v>80</v>
      </c>
      <c r="D16" s="14">
        <v>33</v>
      </c>
      <c r="E16" s="11">
        <f>+C16/D16*1000</f>
        <v>2424.2424242424245</v>
      </c>
      <c r="F16" s="11"/>
      <c r="G16" s="11">
        <v>107</v>
      </c>
      <c r="H16" s="11">
        <v>33</v>
      </c>
      <c r="I16">
        <f>+G16/H16*1000</f>
        <v>3242.424242424242</v>
      </c>
      <c r="J16">
        <f>+E16-I16</f>
        <v>-818.18181818181756</v>
      </c>
      <c r="K16">
        <f t="shared" si="5"/>
        <v>-33.749999999999972</v>
      </c>
    </row>
    <row r="17" spans="1:15" x14ac:dyDescent="0.25">
      <c r="A17" s="2">
        <v>41561</v>
      </c>
      <c r="B17" s="3" t="s">
        <v>116</v>
      </c>
      <c r="C17" s="11">
        <v>118</v>
      </c>
      <c r="D17" s="14">
        <v>33</v>
      </c>
      <c r="E17" s="11">
        <f>+C17/D17*1000</f>
        <v>3575.7575757575755</v>
      </c>
      <c r="F17" s="11"/>
      <c r="G17" s="11">
        <v>88</v>
      </c>
      <c r="H17" s="11">
        <v>33</v>
      </c>
      <c r="I17">
        <f t="shared" ref="I17:I22" si="6">+G17/H17*1000</f>
        <v>2666.6666666666665</v>
      </c>
      <c r="J17">
        <f t="shared" ref="J17:J22" si="7">+E17-I17</f>
        <v>909.09090909090901</v>
      </c>
      <c r="K17">
        <f t="shared" si="5"/>
        <v>25.423728813559322</v>
      </c>
    </row>
    <row r="18" spans="1:15" x14ac:dyDescent="0.25">
      <c r="A18" s="2">
        <v>41561</v>
      </c>
      <c r="B18" s="3" t="s">
        <v>117</v>
      </c>
      <c r="C18" s="11">
        <v>66</v>
      </c>
      <c r="D18" s="14">
        <v>33</v>
      </c>
      <c r="E18" s="11">
        <f>+C18/D18*1000</f>
        <v>2000</v>
      </c>
      <c r="F18" s="11"/>
      <c r="G18" s="11">
        <v>92</v>
      </c>
      <c r="H18" s="11">
        <v>33</v>
      </c>
      <c r="I18">
        <f>+G18/H18*1000</f>
        <v>2787.878787878788</v>
      </c>
      <c r="J18">
        <f t="shared" si="7"/>
        <v>-787.87878787878799</v>
      </c>
      <c r="K18">
        <f t="shared" si="5"/>
        <v>-39.393939393939398</v>
      </c>
    </row>
    <row r="19" spans="1:15" x14ac:dyDescent="0.25">
      <c r="A19" s="2">
        <v>41561</v>
      </c>
      <c r="B19" s="3" t="s">
        <v>113</v>
      </c>
      <c r="C19" s="11">
        <v>71</v>
      </c>
      <c r="D19" s="14">
        <v>33</v>
      </c>
      <c r="E19" s="11">
        <f t="shared" ref="E19:E22" si="8">+C19/D19*1000</f>
        <v>2151.5151515151515</v>
      </c>
      <c r="F19" s="11"/>
      <c r="G19" s="11">
        <v>59</v>
      </c>
      <c r="H19" s="11">
        <v>33</v>
      </c>
      <c r="I19">
        <f t="shared" si="6"/>
        <v>1787.8787878787878</v>
      </c>
      <c r="J19">
        <f t="shared" si="7"/>
        <v>363.63636363636374</v>
      </c>
      <c r="K19">
        <f t="shared" si="5"/>
        <v>16.901408450704231</v>
      </c>
    </row>
    <row r="20" spans="1:15" x14ac:dyDescent="0.25">
      <c r="A20" s="2">
        <v>41561</v>
      </c>
      <c r="B20" s="3" t="s">
        <v>115</v>
      </c>
      <c r="C20" s="11">
        <v>36</v>
      </c>
      <c r="D20" s="14">
        <v>33</v>
      </c>
      <c r="E20" s="11">
        <f t="shared" si="8"/>
        <v>1090.9090909090908</v>
      </c>
      <c r="F20" s="11"/>
      <c r="G20" s="11">
        <v>56</v>
      </c>
      <c r="H20" s="11">
        <v>33</v>
      </c>
      <c r="I20">
        <f t="shared" si="6"/>
        <v>1696.969696969697</v>
      </c>
      <c r="J20">
        <f t="shared" si="7"/>
        <v>-606.06060606060623</v>
      </c>
      <c r="K20">
        <f t="shared" si="5"/>
        <v>-55.555555555555578</v>
      </c>
    </row>
    <row r="21" spans="1:15" x14ac:dyDescent="0.25">
      <c r="A21" s="2">
        <v>41561</v>
      </c>
      <c r="B21" s="3" t="s">
        <v>114</v>
      </c>
      <c r="C21" s="11">
        <v>56</v>
      </c>
      <c r="D21" s="14">
        <v>33</v>
      </c>
      <c r="E21" s="11">
        <f t="shared" si="8"/>
        <v>1696.969696969697</v>
      </c>
      <c r="F21" s="11"/>
      <c r="G21" s="11">
        <v>48</v>
      </c>
      <c r="H21" s="11">
        <v>33</v>
      </c>
      <c r="I21">
        <f t="shared" si="6"/>
        <v>1454.5454545454545</v>
      </c>
      <c r="J21">
        <f t="shared" si="7"/>
        <v>242.42424242424249</v>
      </c>
      <c r="K21">
        <f t="shared" si="5"/>
        <v>14.28571428571429</v>
      </c>
    </row>
    <row r="22" spans="1:15" x14ac:dyDescent="0.25">
      <c r="A22" s="2">
        <v>41561</v>
      </c>
      <c r="B22" s="3" t="s">
        <v>112</v>
      </c>
      <c r="C22" s="11">
        <v>62</v>
      </c>
      <c r="D22" s="14">
        <v>33</v>
      </c>
      <c r="E22" s="11">
        <f t="shared" si="8"/>
        <v>1878.787878787879</v>
      </c>
      <c r="F22" s="11"/>
      <c r="G22" s="11">
        <v>48</v>
      </c>
      <c r="H22" s="11">
        <v>33</v>
      </c>
      <c r="I22">
        <f t="shared" si="6"/>
        <v>1454.5454545454545</v>
      </c>
      <c r="J22">
        <f t="shared" si="7"/>
        <v>424.24242424242448</v>
      </c>
      <c r="K22">
        <f t="shared" si="5"/>
        <v>22.580645161290334</v>
      </c>
    </row>
    <row r="23" spans="1:15" x14ac:dyDescent="0.25">
      <c r="A23" s="2"/>
      <c r="B23" s="3"/>
      <c r="C23" s="11"/>
      <c r="D23" s="14"/>
      <c r="E23" s="11"/>
      <c r="F23" s="11"/>
      <c r="G23" s="11"/>
      <c r="H23" s="11"/>
    </row>
    <row r="24" spans="1:15" x14ac:dyDescent="0.25">
      <c r="A24" s="2">
        <v>41561</v>
      </c>
      <c r="B24" s="8" t="s">
        <v>109</v>
      </c>
      <c r="C24" s="11">
        <v>13456</v>
      </c>
      <c r="D24" s="14">
        <v>33</v>
      </c>
      <c r="E24" s="11">
        <f>+C24/D24*1000</f>
        <v>407757.57575757575</v>
      </c>
      <c r="F24" s="11"/>
      <c r="G24" s="11"/>
      <c r="H24" s="11"/>
    </row>
    <row r="25" spans="1:15" x14ac:dyDescent="0.25">
      <c r="B25" s="8"/>
      <c r="C25" s="11"/>
      <c r="D25" s="14"/>
      <c r="E25" s="11"/>
      <c r="F25" s="11"/>
      <c r="G25" s="15" t="s">
        <v>164</v>
      </c>
      <c r="H25" s="11"/>
    </row>
    <row r="26" spans="1:15" x14ac:dyDescent="0.25">
      <c r="A26" s="2"/>
      <c r="B26" s="8"/>
      <c r="C26" s="11"/>
      <c r="D26" s="14"/>
      <c r="E26" s="11"/>
      <c r="F26" s="11"/>
      <c r="G26" s="11" t="s">
        <v>162</v>
      </c>
      <c r="H26" s="11"/>
    </row>
    <row r="27" spans="1:15" x14ac:dyDescent="0.25">
      <c r="B27" s="8"/>
      <c r="C27" s="11"/>
      <c r="D27" s="14"/>
      <c r="E27" s="11"/>
      <c r="F27" s="11"/>
      <c r="G27" s="11" t="s">
        <v>165</v>
      </c>
      <c r="H27" s="11"/>
    </row>
    <row r="28" spans="1:15" x14ac:dyDescent="0.25">
      <c r="B28" s="8"/>
      <c r="C28" s="11"/>
      <c r="D28" s="14"/>
      <c r="E28" s="11"/>
      <c r="F28" s="11"/>
      <c r="G28" s="11" t="s">
        <v>166</v>
      </c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B29" s="8"/>
      <c r="C29" s="11"/>
      <c r="D29" s="14"/>
      <c r="E29" s="11"/>
      <c r="F29" s="11"/>
      <c r="G29" s="11" t="s">
        <v>163</v>
      </c>
      <c r="H29" s="11"/>
    </row>
    <row r="30" spans="1:15" x14ac:dyDescent="0.25">
      <c r="F30" s="11"/>
      <c r="G30" s="11"/>
      <c r="H30" s="11"/>
    </row>
    <row r="31" spans="1:15" x14ac:dyDescent="0.25">
      <c r="F31" s="11"/>
      <c r="G31" s="11" t="s">
        <v>167</v>
      </c>
      <c r="H31" s="11"/>
    </row>
    <row r="32" spans="1:15" x14ac:dyDescent="0.25">
      <c r="B32" s="8"/>
      <c r="C32" s="11"/>
      <c r="D32" s="14"/>
      <c r="E32" s="11"/>
      <c r="F32" s="11"/>
      <c r="G32" s="11"/>
      <c r="H32" s="11"/>
    </row>
    <row r="33" spans="1:15" x14ac:dyDescent="0.25">
      <c r="B33" s="8"/>
      <c r="C33" s="11"/>
      <c r="D33" s="14"/>
      <c r="E33" s="11"/>
      <c r="F33" s="11"/>
      <c r="G33" s="11"/>
      <c r="H33" s="11"/>
    </row>
    <row r="34" spans="1:15" x14ac:dyDescent="0.25">
      <c r="B34" s="8"/>
      <c r="C34" s="11"/>
      <c r="D34" s="14"/>
      <c r="E34" s="11"/>
      <c r="F34" s="11"/>
      <c r="G34" s="11"/>
      <c r="H34" s="11"/>
    </row>
    <row r="35" spans="1:15" x14ac:dyDescent="0.25">
      <c r="B35" s="8"/>
      <c r="C35" s="11"/>
      <c r="D35" s="14"/>
      <c r="E35" s="11"/>
      <c r="F35" s="11"/>
      <c r="G35" s="11"/>
      <c r="H35" s="11"/>
    </row>
    <row r="36" spans="1:15" x14ac:dyDescent="0.25">
      <c r="B36" s="3"/>
      <c r="D36" s="8"/>
      <c r="E36">
        <f>AVERAGE(E4:E12)</f>
        <v>4141.4141414141413</v>
      </c>
      <c r="I36" s="11"/>
      <c r="J36" s="11"/>
      <c r="K36" s="11"/>
      <c r="L36" s="11"/>
      <c r="M36" s="11"/>
      <c r="N36" s="11"/>
      <c r="O36" s="11"/>
    </row>
    <row r="37" spans="1:15" x14ac:dyDescent="0.25">
      <c r="A37" s="6"/>
      <c r="B37" s="3"/>
      <c r="D37" s="8"/>
      <c r="E37">
        <f>AVERAGE(E15:E22)</f>
        <v>2196.969696969697</v>
      </c>
      <c r="I37" s="11"/>
      <c r="J37" s="11"/>
      <c r="K37" s="11"/>
      <c r="L37" s="11"/>
      <c r="M37" s="11"/>
      <c r="N37" s="11"/>
      <c r="O37" s="11"/>
    </row>
    <row r="38" spans="1:15" x14ac:dyDescent="0.25">
      <c r="B38" s="3"/>
      <c r="D38" s="8"/>
      <c r="E38">
        <f>+(E37-E36)/E36</f>
        <v>-0.46951219512195119</v>
      </c>
      <c r="I38" s="11"/>
      <c r="J38" s="11"/>
      <c r="K38" s="11"/>
      <c r="L38" s="11"/>
      <c r="M38" s="11"/>
      <c r="N38" s="11"/>
      <c r="O38" s="11"/>
    </row>
    <row r="39" spans="1:15" x14ac:dyDescent="0.25">
      <c r="A39" t="s">
        <v>128</v>
      </c>
      <c r="B39" s="3"/>
      <c r="D39" s="8"/>
    </row>
    <row r="40" spans="1:15" x14ac:dyDescent="0.25">
      <c r="B40" s="3"/>
      <c r="C40" t="s">
        <v>0</v>
      </c>
      <c r="D40" s="8" t="s">
        <v>1</v>
      </c>
      <c r="E40" t="s">
        <v>3</v>
      </c>
      <c r="F40" s="6"/>
      <c r="H40" t="s">
        <v>132</v>
      </c>
    </row>
    <row r="41" spans="1:15" x14ac:dyDescent="0.25">
      <c r="B41" s="3"/>
      <c r="D41" s="8"/>
      <c r="H41" t="e">
        <f>(E42-E41)/E42*100</f>
        <v>#DIV/0!</v>
      </c>
    </row>
    <row r="42" spans="1:15" x14ac:dyDescent="0.25">
      <c r="B42" s="3"/>
      <c r="D42" s="8"/>
    </row>
    <row r="43" spans="1:15" x14ac:dyDescent="0.25">
      <c r="B43" s="3"/>
      <c r="D43" s="8"/>
    </row>
    <row r="44" spans="1:15" x14ac:dyDescent="0.25">
      <c r="A44" t="s">
        <v>133</v>
      </c>
      <c r="B44" s="3"/>
      <c r="D44" s="8"/>
    </row>
    <row r="45" spans="1:15" x14ac:dyDescent="0.25">
      <c r="B45" s="3"/>
      <c r="D45" s="8"/>
    </row>
    <row r="46" spans="1:15" x14ac:dyDescent="0.25">
      <c r="B46" s="3"/>
      <c r="D46" s="8">
        <v>33</v>
      </c>
      <c r="E46">
        <f>+C46/D46*1000</f>
        <v>0</v>
      </c>
    </row>
    <row r="47" spans="1:15" x14ac:dyDescent="0.25">
      <c r="B47" s="3"/>
      <c r="D47" s="8"/>
    </row>
    <row r="48" spans="1:15" x14ac:dyDescent="0.25">
      <c r="B48" s="3"/>
      <c r="D48" s="8"/>
    </row>
    <row r="49" spans="2:4" x14ac:dyDescent="0.25">
      <c r="B49" s="3"/>
      <c r="D49" s="8">
        <f>40000*20</f>
        <v>800000</v>
      </c>
    </row>
    <row r="50" spans="2:4" x14ac:dyDescent="0.25">
      <c r="B50" s="3"/>
      <c r="D50" s="8" t="e">
        <f>+D49/E46</f>
        <v>#DIV/0!</v>
      </c>
    </row>
    <row r="51" spans="2:4" x14ac:dyDescent="0.25">
      <c r="B51" s="3"/>
      <c r="D51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5" zoomScaleNormal="85" workbookViewId="0">
      <selection activeCell="H14" sqref="H14"/>
    </sheetView>
  </sheetViews>
  <sheetFormatPr defaultRowHeight="15" x14ac:dyDescent="0.25"/>
  <cols>
    <col min="1" max="1" width="10.7109375" bestFit="1" customWidth="1"/>
    <col min="2" max="2" width="20.140625" customWidth="1"/>
  </cols>
  <sheetData>
    <row r="1" spans="1:11" x14ac:dyDescent="0.25">
      <c r="B1" s="3"/>
      <c r="C1" t="s">
        <v>4</v>
      </c>
      <c r="D1" s="8"/>
      <c r="F1" s="4"/>
      <c r="G1" t="s">
        <v>4</v>
      </c>
      <c r="K1" s="2"/>
    </row>
    <row r="2" spans="1:11" x14ac:dyDescent="0.25">
      <c r="A2" s="5"/>
      <c r="B2" s="3"/>
      <c r="C2" t="s">
        <v>5</v>
      </c>
      <c r="D2" s="8"/>
      <c r="F2" s="5"/>
      <c r="G2" t="s">
        <v>5</v>
      </c>
      <c r="J2" t="s">
        <v>9</v>
      </c>
      <c r="K2" t="s">
        <v>60</v>
      </c>
    </row>
    <row r="3" spans="1:11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H3" t="s">
        <v>1</v>
      </c>
      <c r="I3" t="s">
        <v>6</v>
      </c>
      <c r="J3" t="s">
        <v>10</v>
      </c>
      <c r="K3" s="5"/>
    </row>
    <row r="4" spans="1:11" x14ac:dyDescent="0.25">
      <c r="A4" s="2">
        <v>41561</v>
      </c>
      <c r="B4" s="3" t="s">
        <v>118</v>
      </c>
      <c r="C4">
        <v>154</v>
      </c>
      <c r="D4" s="8">
        <v>33</v>
      </c>
      <c r="E4">
        <f>+C4/D4*1000</f>
        <v>4666.666666666667</v>
      </c>
      <c r="G4">
        <v>144</v>
      </c>
      <c r="H4">
        <v>33</v>
      </c>
      <c r="I4">
        <f>+G4/H4*1000</f>
        <v>4363.6363636363631</v>
      </c>
      <c r="J4">
        <f t="shared" ref="J4:J11" si="0">+E4-I4</f>
        <v>303.03030303030391</v>
      </c>
      <c r="K4">
        <f t="shared" ref="K4:K12" si="1">+J4/E4*100</f>
        <v>6.4935064935065121</v>
      </c>
    </row>
    <row r="5" spans="1:11" x14ac:dyDescent="0.25">
      <c r="A5" s="2">
        <v>41561</v>
      </c>
      <c r="B5" s="3" t="s">
        <v>119</v>
      </c>
      <c r="C5" s="11">
        <v>178</v>
      </c>
      <c r="D5" s="8">
        <v>33</v>
      </c>
      <c r="E5">
        <f t="shared" ref="E5:E11" si="2">+C5/D5*1000</f>
        <v>5393.939393939394</v>
      </c>
      <c r="G5">
        <v>163</v>
      </c>
      <c r="H5">
        <v>33</v>
      </c>
      <c r="I5">
        <f t="shared" ref="I5:I12" si="3">+G5/H5*1000</f>
        <v>4939.393939393939</v>
      </c>
      <c r="J5">
        <f t="shared" si="0"/>
        <v>454.54545454545496</v>
      </c>
      <c r="K5">
        <f t="shared" si="1"/>
        <v>8.4269662921348392</v>
      </c>
    </row>
    <row r="6" spans="1:11" x14ac:dyDescent="0.25">
      <c r="A6" s="2">
        <v>41561</v>
      </c>
      <c r="B6" s="3" t="s">
        <v>116</v>
      </c>
      <c r="C6" s="11">
        <v>169</v>
      </c>
      <c r="D6" s="8">
        <v>33</v>
      </c>
      <c r="E6">
        <f t="shared" si="2"/>
        <v>5121.212121212121</v>
      </c>
      <c r="G6">
        <v>175</v>
      </c>
      <c r="H6">
        <v>33</v>
      </c>
      <c r="I6">
        <f t="shared" si="3"/>
        <v>5303.030303030303</v>
      </c>
      <c r="J6">
        <f t="shared" si="0"/>
        <v>-181.81818181818198</v>
      </c>
      <c r="K6">
        <f t="shared" si="1"/>
        <v>-3.5502958579881692</v>
      </c>
    </row>
    <row r="7" spans="1:11" x14ac:dyDescent="0.25">
      <c r="A7" s="2">
        <v>41561</v>
      </c>
      <c r="B7" s="3" t="s">
        <v>117</v>
      </c>
      <c r="C7" s="11">
        <v>147</v>
      </c>
      <c r="D7" s="14">
        <v>33</v>
      </c>
      <c r="E7" s="11">
        <f t="shared" si="2"/>
        <v>4454.545454545454</v>
      </c>
      <c r="F7" s="11"/>
      <c r="G7" s="11">
        <v>157</v>
      </c>
      <c r="H7" s="11">
        <v>33</v>
      </c>
      <c r="I7">
        <f t="shared" si="3"/>
        <v>4757.575757575758</v>
      </c>
      <c r="J7">
        <f t="shared" si="0"/>
        <v>-303.03030303030391</v>
      </c>
      <c r="K7">
        <f t="shared" si="1"/>
        <v>-6.8027210884353941</v>
      </c>
    </row>
    <row r="8" spans="1:11" x14ac:dyDescent="0.25">
      <c r="A8" s="2">
        <v>41561</v>
      </c>
      <c r="B8" s="3" t="s">
        <v>113</v>
      </c>
      <c r="C8" s="11">
        <v>149</v>
      </c>
      <c r="D8" s="14">
        <v>33</v>
      </c>
      <c r="E8" s="11">
        <f t="shared" si="2"/>
        <v>4515.1515151515159</v>
      </c>
      <c r="F8" s="11"/>
      <c r="G8" s="11">
        <v>144</v>
      </c>
      <c r="H8" s="11">
        <v>33</v>
      </c>
      <c r="I8">
        <f t="shared" si="3"/>
        <v>4363.6363636363631</v>
      </c>
      <c r="J8">
        <f t="shared" si="0"/>
        <v>151.51515151515287</v>
      </c>
      <c r="K8">
        <f t="shared" si="1"/>
        <v>3.3557046979866065</v>
      </c>
    </row>
    <row r="9" spans="1:11" x14ac:dyDescent="0.25">
      <c r="A9" s="2">
        <v>41561</v>
      </c>
      <c r="B9" s="3" t="s">
        <v>115</v>
      </c>
      <c r="C9" s="11">
        <v>126</v>
      </c>
      <c r="D9" s="14">
        <v>33</v>
      </c>
      <c r="E9" s="11">
        <f t="shared" si="2"/>
        <v>3818.1818181818185</v>
      </c>
      <c r="F9" s="11"/>
      <c r="G9" s="11">
        <v>132</v>
      </c>
      <c r="H9" s="11">
        <v>33</v>
      </c>
      <c r="I9">
        <f t="shared" si="3"/>
        <v>4000</v>
      </c>
      <c r="J9">
        <f t="shared" si="0"/>
        <v>-181.81818181818153</v>
      </c>
      <c r="K9">
        <f t="shared" si="1"/>
        <v>-4.7619047619047539</v>
      </c>
    </row>
    <row r="10" spans="1:11" x14ac:dyDescent="0.25">
      <c r="A10" s="2">
        <v>41561</v>
      </c>
      <c r="B10" s="3" t="s">
        <v>114</v>
      </c>
      <c r="C10" s="11">
        <v>128</v>
      </c>
      <c r="D10" s="14">
        <v>33</v>
      </c>
      <c r="E10" s="11">
        <f t="shared" si="2"/>
        <v>3878.787878787879</v>
      </c>
      <c r="F10" s="11"/>
      <c r="G10" s="11">
        <v>120</v>
      </c>
      <c r="H10" s="11">
        <v>33</v>
      </c>
      <c r="I10">
        <f t="shared" si="3"/>
        <v>3636.363636363636</v>
      </c>
      <c r="J10">
        <f t="shared" si="0"/>
        <v>242.42424242424295</v>
      </c>
      <c r="K10">
        <f t="shared" si="1"/>
        <v>6.2500000000000142</v>
      </c>
    </row>
    <row r="11" spans="1:11" x14ac:dyDescent="0.25">
      <c r="A11" s="2">
        <v>41561</v>
      </c>
      <c r="B11" s="3" t="s">
        <v>112</v>
      </c>
      <c r="C11" s="11">
        <v>132</v>
      </c>
      <c r="D11" s="14">
        <v>33</v>
      </c>
      <c r="E11" s="11">
        <f t="shared" si="2"/>
        <v>4000</v>
      </c>
      <c r="F11" s="11"/>
      <c r="G11" s="11">
        <v>122</v>
      </c>
      <c r="H11" s="11">
        <v>33</v>
      </c>
      <c r="I11">
        <f t="shared" si="3"/>
        <v>3696.969696969697</v>
      </c>
      <c r="J11">
        <f t="shared" si="0"/>
        <v>303.030303030303</v>
      </c>
      <c r="K11">
        <f t="shared" si="1"/>
        <v>7.5757575757575744</v>
      </c>
    </row>
    <row r="12" spans="1:11" x14ac:dyDescent="0.25">
      <c r="A12" s="2">
        <v>41561</v>
      </c>
      <c r="B12" s="3" t="s">
        <v>120</v>
      </c>
      <c r="C12" s="11">
        <v>106</v>
      </c>
      <c r="D12" s="14">
        <v>33</v>
      </c>
      <c r="E12" s="11">
        <f>+C12/D12*1000</f>
        <v>3212.121212121212</v>
      </c>
      <c r="F12" s="11"/>
      <c r="G12" s="11">
        <v>70</v>
      </c>
      <c r="H12" s="11">
        <v>33</v>
      </c>
      <c r="I12">
        <f t="shared" si="3"/>
        <v>2121.212121212121</v>
      </c>
      <c r="J12">
        <f>+E12-I12</f>
        <v>1090.909090909091</v>
      </c>
      <c r="K12">
        <f t="shared" si="1"/>
        <v>33.962264150943398</v>
      </c>
    </row>
    <row r="13" spans="1:11" x14ac:dyDescent="0.25">
      <c r="A13" s="2"/>
      <c r="B13" s="3"/>
      <c r="C13" s="11"/>
      <c r="D13" s="14"/>
      <c r="E13" s="11"/>
      <c r="F13" s="11"/>
      <c r="G13" s="11"/>
      <c r="H13" s="11"/>
    </row>
    <row r="14" spans="1:11" x14ac:dyDescent="0.25">
      <c r="A14" s="2"/>
      <c r="B14" s="3"/>
      <c r="C14" s="11"/>
      <c r="D14" s="14"/>
      <c r="E14" s="11"/>
      <c r="F14" s="11"/>
      <c r="G14" s="11"/>
      <c r="H14" s="11"/>
    </row>
    <row r="15" spans="1:11" x14ac:dyDescent="0.25">
      <c r="A15" s="2">
        <v>41561</v>
      </c>
      <c r="B15" s="3" t="s">
        <v>118</v>
      </c>
      <c r="C15" s="11">
        <v>121</v>
      </c>
      <c r="D15" s="14">
        <v>33</v>
      </c>
      <c r="E15" s="11">
        <f t="shared" ref="E15" si="4">+C15/D15*1000</f>
        <v>3666.6666666666665</v>
      </c>
      <c r="F15" s="11"/>
      <c r="G15" s="11">
        <v>107</v>
      </c>
      <c r="H15" s="11">
        <v>33</v>
      </c>
      <c r="I15">
        <f>+G15/H15*1000</f>
        <v>3242.424242424242</v>
      </c>
      <c r="J15">
        <f>+E15-I15</f>
        <v>424.24242424242448</v>
      </c>
      <c r="K15">
        <f t="shared" ref="K15:K22" si="5">+J15/E15*100</f>
        <v>11.570247933884305</v>
      </c>
    </row>
    <row r="16" spans="1:11" x14ac:dyDescent="0.25">
      <c r="A16" s="2">
        <v>41561</v>
      </c>
      <c r="B16" s="3" t="s">
        <v>119</v>
      </c>
      <c r="C16" s="11">
        <v>130</v>
      </c>
      <c r="D16" s="14">
        <v>33</v>
      </c>
      <c r="E16" s="11">
        <f>+C16/D16*1000</f>
        <v>3939.3939393939395</v>
      </c>
      <c r="F16" s="11"/>
      <c r="G16" s="11">
        <v>146</v>
      </c>
      <c r="H16" s="11">
        <v>33</v>
      </c>
      <c r="I16">
        <f>+G16/H16*1000</f>
        <v>4424.242424242424</v>
      </c>
      <c r="J16">
        <f>+E16-I16</f>
        <v>-484.84848484848453</v>
      </c>
      <c r="K16">
        <f t="shared" si="5"/>
        <v>-12.307692307692299</v>
      </c>
    </row>
    <row r="17" spans="1:15" x14ac:dyDescent="0.25">
      <c r="A17" s="2">
        <v>41561</v>
      </c>
      <c r="B17" s="3" t="s">
        <v>116</v>
      </c>
      <c r="C17" s="11">
        <v>128</v>
      </c>
      <c r="D17" s="14">
        <v>33</v>
      </c>
      <c r="E17" s="11">
        <f>+C17/D17*1000</f>
        <v>3878.787878787879</v>
      </c>
      <c r="F17" s="11"/>
      <c r="G17" s="11">
        <v>113</v>
      </c>
      <c r="H17" s="11">
        <v>33</v>
      </c>
      <c r="I17">
        <f t="shared" ref="I17:I22" si="6">+G17/H17*1000</f>
        <v>3424.2424242424245</v>
      </c>
      <c r="J17">
        <f t="shared" ref="J17:J22" si="7">+E17-I17</f>
        <v>454.5454545454545</v>
      </c>
      <c r="K17">
        <f t="shared" si="5"/>
        <v>11.718749999999998</v>
      </c>
    </row>
    <row r="18" spans="1:15" x14ac:dyDescent="0.25">
      <c r="A18" s="2">
        <v>41561</v>
      </c>
      <c r="B18" s="3" t="s">
        <v>117</v>
      </c>
      <c r="C18" s="11">
        <v>122</v>
      </c>
      <c r="D18" s="14">
        <v>33</v>
      </c>
      <c r="E18" s="11">
        <f>+C18/D18*1000</f>
        <v>3696.969696969697</v>
      </c>
      <c r="F18" s="11"/>
      <c r="G18" s="11">
        <v>107</v>
      </c>
      <c r="H18" s="11">
        <v>33</v>
      </c>
      <c r="I18">
        <f>+G18/H18*1000</f>
        <v>3242.424242424242</v>
      </c>
      <c r="J18">
        <f t="shared" si="7"/>
        <v>454.54545454545496</v>
      </c>
      <c r="K18">
        <f t="shared" si="5"/>
        <v>12.295081967213125</v>
      </c>
    </row>
    <row r="19" spans="1:15" x14ac:dyDescent="0.25">
      <c r="A19" s="2">
        <v>41561</v>
      </c>
      <c r="B19" s="3" t="s">
        <v>113</v>
      </c>
      <c r="C19" s="11">
        <v>69</v>
      </c>
      <c r="D19" s="14">
        <v>33</v>
      </c>
      <c r="E19" s="11">
        <f t="shared" ref="E19:E22" si="8">+C19/D19*1000</f>
        <v>2090.909090909091</v>
      </c>
      <c r="F19" s="11"/>
      <c r="G19" s="11">
        <v>74</v>
      </c>
      <c r="H19" s="11">
        <v>33</v>
      </c>
      <c r="I19">
        <f t="shared" si="6"/>
        <v>2242.424242424242</v>
      </c>
      <c r="J19">
        <f t="shared" si="7"/>
        <v>-151.51515151515105</v>
      </c>
      <c r="K19">
        <f t="shared" si="5"/>
        <v>-7.24637681159418</v>
      </c>
    </row>
    <row r="20" spans="1:15" x14ac:dyDescent="0.25">
      <c r="A20" s="2">
        <v>41561</v>
      </c>
      <c r="B20" s="3" t="s">
        <v>115</v>
      </c>
      <c r="C20" s="11">
        <v>60</v>
      </c>
      <c r="D20" s="14">
        <v>33</v>
      </c>
      <c r="E20" s="11">
        <f t="shared" si="8"/>
        <v>1818.181818181818</v>
      </c>
      <c r="F20" s="11"/>
      <c r="G20" s="11">
        <v>71</v>
      </c>
      <c r="H20" s="11">
        <v>33</v>
      </c>
      <c r="I20">
        <f t="shared" si="6"/>
        <v>2151.5151515151515</v>
      </c>
      <c r="J20">
        <f t="shared" si="7"/>
        <v>-333.33333333333348</v>
      </c>
      <c r="K20">
        <f t="shared" si="5"/>
        <v>-18.333333333333343</v>
      </c>
    </row>
    <row r="21" spans="1:15" x14ac:dyDescent="0.25">
      <c r="A21" s="2">
        <v>41561</v>
      </c>
      <c r="B21" s="3" t="s">
        <v>114</v>
      </c>
      <c r="C21" s="11">
        <v>69</v>
      </c>
      <c r="D21" s="14">
        <v>33</v>
      </c>
      <c r="E21" s="11">
        <f t="shared" si="8"/>
        <v>2090.909090909091</v>
      </c>
      <c r="F21" s="11"/>
      <c r="G21" s="11">
        <v>61</v>
      </c>
      <c r="H21" s="11">
        <v>33</v>
      </c>
      <c r="I21">
        <f t="shared" si="6"/>
        <v>1848.4848484848485</v>
      </c>
      <c r="J21">
        <f t="shared" si="7"/>
        <v>242.42424242424249</v>
      </c>
      <c r="K21">
        <f t="shared" si="5"/>
        <v>11.594202898550728</v>
      </c>
    </row>
    <row r="22" spans="1:15" x14ac:dyDescent="0.25">
      <c r="A22" s="2">
        <v>41561</v>
      </c>
      <c r="B22" s="3" t="s">
        <v>112</v>
      </c>
      <c r="C22" s="11">
        <v>83</v>
      </c>
      <c r="D22" s="14">
        <v>33</v>
      </c>
      <c r="E22" s="11">
        <f t="shared" si="8"/>
        <v>2515.151515151515</v>
      </c>
      <c r="F22" s="11"/>
      <c r="G22" s="11">
        <v>77</v>
      </c>
      <c r="H22" s="11">
        <v>33</v>
      </c>
      <c r="I22">
        <f t="shared" si="6"/>
        <v>2333.3333333333335</v>
      </c>
      <c r="J22">
        <f t="shared" si="7"/>
        <v>181.81818181818153</v>
      </c>
      <c r="K22">
        <f t="shared" si="5"/>
        <v>7.228915662650591</v>
      </c>
    </row>
    <row r="23" spans="1:15" x14ac:dyDescent="0.25">
      <c r="A23" s="2"/>
      <c r="B23" s="3"/>
      <c r="C23" s="11"/>
      <c r="D23" s="14"/>
      <c r="E23" s="11"/>
      <c r="F23" s="11"/>
      <c r="G23" s="11"/>
      <c r="H23" s="11"/>
    </row>
    <row r="24" spans="1:15" x14ac:dyDescent="0.25">
      <c r="A24" s="2">
        <v>41561</v>
      </c>
      <c r="B24" s="8" t="s">
        <v>109</v>
      </c>
      <c r="C24" s="11">
        <v>20333</v>
      </c>
      <c r="D24" s="14">
        <v>33</v>
      </c>
      <c r="E24" s="11">
        <f>+C24/D24*1000</f>
        <v>616151.51515151514</v>
      </c>
      <c r="F24" s="11"/>
      <c r="G24" s="11"/>
      <c r="H24" s="11"/>
    </row>
    <row r="25" spans="1:15" x14ac:dyDescent="0.25">
      <c r="B25" s="8"/>
      <c r="C25" s="11"/>
      <c r="D25" s="14"/>
      <c r="E25" s="11"/>
      <c r="F25" s="11"/>
      <c r="G25" s="15" t="s">
        <v>168</v>
      </c>
      <c r="H25" s="11"/>
    </row>
    <row r="26" spans="1:15" x14ac:dyDescent="0.25">
      <c r="A26" s="2"/>
      <c r="B26" s="8"/>
      <c r="C26" s="11"/>
      <c r="D26" s="14"/>
      <c r="E26" s="11"/>
      <c r="F26" s="11"/>
      <c r="G26" s="11" t="s">
        <v>169</v>
      </c>
      <c r="H26" s="11"/>
    </row>
    <row r="27" spans="1:15" x14ac:dyDescent="0.25">
      <c r="B27" s="8"/>
      <c r="C27" s="11"/>
      <c r="D27" s="14"/>
      <c r="E27" s="11"/>
      <c r="F27" s="11"/>
      <c r="G27" s="11" t="s">
        <v>170</v>
      </c>
      <c r="H27" s="11"/>
    </row>
    <row r="28" spans="1:15" x14ac:dyDescent="0.25">
      <c r="B28" s="8"/>
      <c r="C28" s="11"/>
      <c r="D28" s="14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B29" s="8"/>
      <c r="C29" s="11"/>
      <c r="D29" s="14"/>
      <c r="E29" s="11"/>
      <c r="F29" s="11"/>
      <c r="G29" s="11" t="s">
        <v>171</v>
      </c>
      <c r="H29" s="11"/>
    </row>
    <row r="30" spans="1:15" x14ac:dyDescent="0.25">
      <c r="F30" s="11"/>
      <c r="G30" s="11"/>
      <c r="H30" s="11"/>
    </row>
    <row r="31" spans="1:15" x14ac:dyDescent="0.25">
      <c r="F31" s="11"/>
      <c r="G31" s="11" t="s">
        <v>172</v>
      </c>
      <c r="H31" s="11"/>
    </row>
    <row r="32" spans="1:15" x14ac:dyDescent="0.25">
      <c r="B32" s="8"/>
      <c r="C32" s="11"/>
      <c r="D32" s="14"/>
      <c r="E32" s="11"/>
      <c r="F32" s="11"/>
      <c r="G32" s="11" t="s">
        <v>173</v>
      </c>
      <c r="H32" s="11"/>
    </row>
    <row r="33" spans="1:15" x14ac:dyDescent="0.25">
      <c r="B33" s="8"/>
      <c r="C33" s="11"/>
      <c r="D33" s="14"/>
      <c r="E33" s="11"/>
      <c r="F33" s="11"/>
      <c r="G33" s="11"/>
      <c r="H33" s="11"/>
    </row>
    <row r="34" spans="1:15" x14ac:dyDescent="0.25">
      <c r="B34" s="8"/>
      <c r="C34" s="11"/>
      <c r="D34" s="14"/>
      <c r="E34" s="11"/>
      <c r="F34" s="11"/>
      <c r="G34" s="11"/>
      <c r="H34" s="11"/>
    </row>
    <row r="35" spans="1:15" x14ac:dyDescent="0.25">
      <c r="B35" s="8"/>
      <c r="C35" s="11"/>
      <c r="D35" s="14"/>
      <c r="E35" s="11"/>
      <c r="F35" s="11"/>
      <c r="G35" s="11"/>
      <c r="H35" s="11"/>
    </row>
    <row r="36" spans="1:15" x14ac:dyDescent="0.25">
      <c r="B36" s="3"/>
      <c r="D36" s="8"/>
      <c r="E36">
        <f>AVERAGE(E4:E12)</f>
        <v>4340.0673400673404</v>
      </c>
      <c r="I36" s="11"/>
      <c r="J36" s="11"/>
      <c r="K36" s="11"/>
      <c r="L36" s="11"/>
      <c r="M36" s="11"/>
      <c r="N36" s="11"/>
      <c r="O36" s="11"/>
    </row>
    <row r="37" spans="1:15" x14ac:dyDescent="0.25">
      <c r="A37" s="6"/>
      <c r="B37" s="3"/>
      <c r="D37" s="8"/>
      <c r="E37">
        <f>AVERAGE(E15:E22)</f>
        <v>2962.121212121212</v>
      </c>
      <c r="I37" s="11"/>
      <c r="J37" s="11"/>
      <c r="K37" s="11"/>
      <c r="L37" s="11"/>
      <c r="M37" s="11"/>
      <c r="N37" s="11"/>
      <c r="O37" s="11"/>
    </row>
    <row r="38" spans="1:15" x14ac:dyDescent="0.25">
      <c r="B38" s="3"/>
      <c r="D38" s="8"/>
      <c r="E38">
        <f>+(E37-E36)/E36</f>
        <v>-0.31749418153607456</v>
      </c>
      <c r="I38" s="11"/>
      <c r="J38" s="11"/>
      <c r="K38" s="11"/>
      <c r="L38" s="11"/>
      <c r="M38" s="11"/>
      <c r="N38" s="11"/>
      <c r="O38" s="11"/>
    </row>
    <row r="39" spans="1:15" x14ac:dyDescent="0.25">
      <c r="A39" t="s">
        <v>128</v>
      </c>
      <c r="B39" s="3"/>
      <c r="D39" s="8"/>
    </row>
    <row r="40" spans="1:15" x14ac:dyDescent="0.25">
      <c r="B40" s="3"/>
      <c r="C40" t="s">
        <v>0</v>
      </c>
      <c r="D40" s="8" t="s">
        <v>1</v>
      </c>
      <c r="E40" t="s">
        <v>3</v>
      </c>
      <c r="F40" s="6"/>
      <c r="H40" t="s">
        <v>132</v>
      </c>
    </row>
    <row r="41" spans="1:15" x14ac:dyDescent="0.25">
      <c r="B41" s="3"/>
      <c r="D41" s="8"/>
      <c r="H41" t="e">
        <f>(E42-E41)/E42*100</f>
        <v>#DIV/0!</v>
      </c>
    </row>
    <row r="42" spans="1:15" x14ac:dyDescent="0.25">
      <c r="B42" s="3"/>
      <c r="D42" s="8"/>
    </row>
    <row r="43" spans="1:15" x14ac:dyDescent="0.25">
      <c r="B43" s="3"/>
      <c r="D43" s="8"/>
    </row>
    <row r="44" spans="1:15" x14ac:dyDescent="0.25">
      <c r="A44" t="s">
        <v>133</v>
      </c>
      <c r="B44" s="3"/>
      <c r="D44" s="8"/>
    </row>
    <row r="45" spans="1:15" x14ac:dyDescent="0.25">
      <c r="B45" s="3"/>
      <c r="D45" s="8"/>
    </row>
    <row r="46" spans="1:15" x14ac:dyDescent="0.25">
      <c r="B46" s="3"/>
      <c r="D46" s="8">
        <v>33</v>
      </c>
      <c r="E46">
        <f>+C46/D46*1000</f>
        <v>0</v>
      </c>
    </row>
    <row r="47" spans="1:15" x14ac:dyDescent="0.25">
      <c r="B47" s="3"/>
      <c r="D47" s="8"/>
    </row>
    <row r="48" spans="1:15" x14ac:dyDescent="0.25">
      <c r="B48" s="3"/>
      <c r="D48" s="8"/>
    </row>
    <row r="49" spans="2:4" x14ac:dyDescent="0.25">
      <c r="B49" s="3"/>
      <c r="D49" s="8">
        <f>40000*20</f>
        <v>800000</v>
      </c>
    </row>
    <row r="50" spans="2:4" x14ac:dyDescent="0.25">
      <c r="B50" s="3"/>
      <c r="D50" s="8" t="e">
        <f>+D49/E46</f>
        <v>#DIV/0!</v>
      </c>
    </row>
    <row r="51" spans="2:4" x14ac:dyDescent="0.25">
      <c r="B51" s="3"/>
      <c r="D51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1" zoomScale="85" zoomScaleNormal="85" workbookViewId="0">
      <selection activeCell="D26" sqref="D26"/>
    </sheetView>
  </sheetViews>
  <sheetFormatPr defaultRowHeight="15" x14ac:dyDescent="0.25"/>
  <cols>
    <col min="1" max="1" width="10.7109375" bestFit="1" customWidth="1"/>
    <col min="2" max="2" width="20.140625" customWidth="1"/>
  </cols>
  <sheetData>
    <row r="1" spans="1:11" x14ac:dyDescent="0.25">
      <c r="B1" s="3"/>
      <c r="C1" t="s">
        <v>4</v>
      </c>
      <c r="D1" s="8"/>
      <c r="F1" s="4"/>
      <c r="G1" t="s">
        <v>4</v>
      </c>
      <c r="K1" s="2"/>
    </row>
    <row r="2" spans="1:11" x14ac:dyDescent="0.25">
      <c r="A2" s="5"/>
      <c r="B2" s="3"/>
      <c r="C2" t="s">
        <v>5</v>
      </c>
      <c r="D2" s="8"/>
      <c r="F2" s="5"/>
      <c r="G2" t="s">
        <v>5</v>
      </c>
      <c r="J2" t="s">
        <v>9</v>
      </c>
      <c r="K2" t="s">
        <v>60</v>
      </c>
    </row>
    <row r="3" spans="1:11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H3" t="s">
        <v>1</v>
      </c>
      <c r="I3" t="s">
        <v>6</v>
      </c>
      <c r="J3" t="s">
        <v>10</v>
      </c>
      <c r="K3" s="5"/>
    </row>
    <row r="4" spans="1:11" x14ac:dyDescent="0.25">
      <c r="A4" s="2">
        <v>41561</v>
      </c>
      <c r="B4" s="3" t="s">
        <v>118</v>
      </c>
      <c r="C4">
        <v>111</v>
      </c>
      <c r="D4" s="8">
        <v>33</v>
      </c>
      <c r="E4">
        <f>+C4/D4*1000</f>
        <v>3363.636363636364</v>
      </c>
      <c r="G4">
        <v>95</v>
      </c>
      <c r="H4">
        <v>33</v>
      </c>
      <c r="I4">
        <f>+G4/H4*1000</f>
        <v>2878.787878787879</v>
      </c>
      <c r="J4">
        <f t="shared" ref="J4:J11" si="0">+E4-I4</f>
        <v>484.84848484848499</v>
      </c>
      <c r="K4">
        <f t="shared" ref="K4:K12" si="1">+J4/E4*100</f>
        <v>14.414414414414416</v>
      </c>
    </row>
    <row r="5" spans="1:11" x14ac:dyDescent="0.25">
      <c r="A5" s="2">
        <v>41561</v>
      </c>
      <c r="B5" s="3" t="s">
        <v>119</v>
      </c>
      <c r="C5" s="11">
        <v>128</v>
      </c>
      <c r="D5" s="8">
        <v>33</v>
      </c>
      <c r="E5">
        <f t="shared" ref="E5:E11" si="2">+C5/D5*1000</f>
        <v>3878.787878787879</v>
      </c>
      <c r="G5">
        <v>91</v>
      </c>
      <c r="H5">
        <v>33</v>
      </c>
      <c r="I5">
        <f t="shared" ref="I5:I12" si="3">+G5/H5*1000</f>
        <v>2757.575757575758</v>
      </c>
      <c r="J5">
        <f t="shared" si="0"/>
        <v>1121.212121212121</v>
      </c>
      <c r="K5">
        <f t="shared" si="1"/>
        <v>28.906249999999993</v>
      </c>
    </row>
    <row r="6" spans="1:11" x14ac:dyDescent="0.25">
      <c r="A6" s="2">
        <v>41561</v>
      </c>
      <c r="B6" s="3" t="s">
        <v>116</v>
      </c>
      <c r="C6" s="11">
        <v>98</v>
      </c>
      <c r="D6" s="8">
        <v>33</v>
      </c>
      <c r="E6">
        <f t="shared" si="2"/>
        <v>2969.6969696969695</v>
      </c>
      <c r="G6">
        <v>94</v>
      </c>
      <c r="H6">
        <v>33</v>
      </c>
      <c r="I6">
        <f t="shared" si="3"/>
        <v>2848.4848484848485</v>
      </c>
      <c r="J6">
        <f t="shared" si="0"/>
        <v>121.21212121212102</v>
      </c>
      <c r="K6">
        <f t="shared" si="1"/>
        <v>4.0816326530612184</v>
      </c>
    </row>
    <row r="7" spans="1:11" x14ac:dyDescent="0.25">
      <c r="A7" s="2">
        <v>41561</v>
      </c>
      <c r="B7" s="3" t="s">
        <v>117</v>
      </c>
      <c r="C7" s="11">
        <v>107</v>
      </c>
      <c r="D7" s="14">
        <v>33</v>
      </c>
      <c r="E7" s="11">
        <f t="shared" si="2"/>
        <v>3242.424242424242</v>
      </c>
      <c r="F7" s="11"/>
      <c r="G7" s="11">
        <v>89</v>
      </c>
      <c r="H7" s="11">
        <v>33</v>
      </c>
      <c r="I7">
        <f t="shared" si="3"/>
        <v>2696.969696969697</v>
      </c>
      <c r="J7">
        <f t="shared" si="0"/>
        <v>545.45454545454504</v>
      </c>
      <c r="K7">
        <f t="shared" si="1"/>
        <v>16.822429906542045</v>
      </c>
    </row>
    <row r="8" spans="1:11" x14ac:dyDescent="0.25">
      <c r="A8" s="2">
        <v>41561</v>
      </c>
      <c r="B8" s="3" t="s">
        <v>113</v>
      </c>
      <c r="C8" s="11">
        <v>111</v>
      </c>
      <c r="D8" s="14">
        <v>33</v>
      </c>
      <c r="E8" s="11">
        <f t="shared" si="2"/>
        <v>3363.636363636364</v>
      </c>
      <c r="F8" s="11"/>
      <c r="G8" s="11">
        <v>87</v>
      </c>
      <c r="H8" s="11">
        <v>33</v>
      </c>
      <c r="I8">
        <f t="shared" si="3"/>
        <v>2636.363636363636</v>
      </c>
      <c r="J8">
        <f t="shared" si="0"/>
        <v>727.27272727272793</v>
      </c>
      <c r="K8">
        <f t="shared" si="1"/>
        <v>21.621621621621639</v>
      </c>
    </row>
    <row r="9" spans="1:11" x14ac:dyDescent="0.25">
      <c r="A9" s="2">
        <v>41561</v>
      </c>
      <c r="B9" s="3" t="s">
        <v>115</v>
      </c>
      <c r="C9" s="11">
        <v>80</v>
      </c>
      <c r="D9" s="14">
        <v>33</v>
      </c>
      <c r="E9" s="11">
        <f t="shared" si="2"/>
        <v>2424.2424242424245</v>
      </c>
      <c r="F9" s="11"/>
      <c r="G9" s="11">
        <v>76</v>
      </c>
      <c r="H9" s="11">
        <v>33</v>
      </c>
      <c r="I9">
        <f t="shared" si="3"/>
        <v>2303.030303030303</v>
      </c>
      <c r="J9">
        <f t="shared" si="0"/>
        <v>121.21212121212147</v>
      </c>
      <c r="K9">
        <f t="shared" si="1"/>
        <v>5.0000000000000098</v>
      </c>
    </row>
    <row r="10" spans="1:11" x14ac:dyDescent="0.25">
      <c r="A10" s="2">
        <v>41561</v>
      </c>
      <c r="B10" s="3" t="s">
        <v>114</v>
      </c>
      <c r="C10" s="11">
        <v>99</v>
      </c>
      <c r="D10" s="14">
        <v>33</v>
      </c>
      <c r="E10" s="11">
        <f t="shared" si="2"/>
        <v>3000</v>
      </c>
      <c r="F10" s="11"/>
      <c r="G10" s="11">
        <v>80</v>
      </c>
      <c r="H10" s="11">
        <v>33</v>
      </c>
      <c r="I10">
        <f t="shared" si="3"/>
        <v>2424.2424242424245</v>
      </c>
      <c r="J10">
        <f t="shared" si="0"/>
        <v>575.75757575757552</v>
      </c>
      <c r="K10">
        <f t="shared" si="1"/>
        <v>19.191919191919187</v>
      </c>
    </row>
    <row r="11" spans="1:11" x14ac:dyDescent="0.25">
      <c r="A11" s="2">
        <v>41561</v>
      </c>
      <c r="B11" s="3" t="s">
        <v>112</v>
      </c>
      <c r="C11" s="11">
        <v>100</v>
      </c>
      <c r="D11" s="14">
        <v>33</v>
      </c>
      <c r="E11" s="11">
        <f t="shared" si="2"/>
        <v>3030.3030303030305</v>
      </c>
      <c r="F11" s="11"/>
      <c r="G11" s="11">
        <v>91</v>
      </c>
      <c r="H11" s="11">
        <v>33</v>
      </c>
      <c r="I11">
        <f t="shared" si="3"/>
        <v>2757.575757575758</v>
      </c>
      <c r="J11">
        <f t="shared" si="0"/>
        <v>272.72727272727252</v>
      </c>
      <c r="K11">
        <f t="shared" si="1"/>
        <v>8.9999999999999929</v>
      </c>
    </row>
    <row r="12" spans="1:11" x14ac:dyDescent="0.25">
      <c r="A12" s="2">
        <v>41561</v>
      </c>
      <c r="B12" s="3" t="s">
        <v>120</v>
      </c>
      <c r="C12" s="11">
        <v>73</v>
      </c>
      <c r="D12" s="14">
        <v>33</v>
      </c>
      <c r="E12" s="11">
        <f>+C12/D12*1000</f>
        <v>2212.121212121212</v>
      </c>
      <c r="F12" s="11"/>
      <c r="G12" s="11">
        <v>168</v>
      </c>
      <c r="H12" s="11">
        <v>33</v>
      </c>
      <c r="I12">
        <f t="shared" si="3"/>
        <v>5090.909090909091</v>
      </c>
      <c r="J12">
        <f>+E12-I12</f>
        <v>-2878.787878787879</v>
      </c>
      <c r="K12">
        <f t="shared" si="1"/>
        <v>-130.13698630136986</v>
      </c>
    </row>
    <row r="13" spans="1:11" x14ac:dyDescent="0.25">
      <c r="A13" s="2"/>
      <c r="B13" s="3"/>
      <c r="C13" s="11"/>
      <c r="D13" s="14"/>
      <c r="E13" s="11"/>
      <c r="F13" s="11"/>
      <c r="G13" s="11"/>
      <c r="H13" s="11"/>
    </row>
    <row r="14" spans="1:11" x14ac:dyDescent="0.25">
      <c r="A14" s="2"/>
      <c r="B14" s="3"/>
      <c r="C14" s="11"/>
      <c r="D14" s="14"/>
      <c r="E14" s="11"/>
      <c r="F14" s="11"/>
      <c r="G14" s="11"/>
      <c r="H14" s="11"/>
    </row>
    <row r="15" spans="1:11" x14ac:dyDescent="0.25">
      <c r="A15" s="2">
        <v>41561</v>
      </c>
      <c r="B15" s="3" t="s">
        <v>118</v>
      </c>
      <c r="C15" s="11">
        <v>79</v>
      </c>
      <c r="D15" s="14">
        <v>33</v>
      </c>
      <c r="E15" s="11">
        <f t="shared" ref="E15" si="4">+C15/D15*1000</f>
        <v>2393.939393939394</v>
      </c>
      <c r="F15" s="11"/>
      <c r="G15" s="11">
        <v>68</v>
      </c>
      <c r="H15" s="11">
        <v>33</v>
      </c>
      <c r="I15">
        <f>+G15/H15*1000</f>
        <v>2060.6060606060605</v>
      </c>
      <c r="J15">
        <f>+E15-I15</f>
        <v>333.33333333333348</v>
      </c>
      <c r="K15">
        <f t="shared" ref="K15:K22" si="5">+J15/E15*100</f>
        <v>13.924050632911397</v>
      </c>
    </row>
    <row r="16" spans="1:11" x14ac:dyDescent="0.25">
      <c r="A16" s="2">
        <v>41561</v>
      </c>
      <c r="B16" s="3" t="s">
        <v>119</v>
      </c>
      <c r="C16" s="11">
        <v>74</v>
      </c>
      <c r="D16" s="14">
        <v>33</v>
      </c>
      <c r="E16" s="11">
        <f>+C16/D16*1000</f>
        <v>2242.424242424242</v>
      </c>
      <c r="F16" s="11"/>
      <c r="G16" s="11">
        <v>67</v>
      </c>
      <c r="H16" s="11">
        <v>33</v>
      </c>
      <c r="I16">
        <f>+G16/H16*1000</f>
        <v>2030.3030303030303</v>
      </c>
      <c r="J16">
        <f>+E16-I16</f>
        <v>212.12121212121178</v>
      </c>
      <c r="K16">
        <f t="shared" si="5"/>
        <v>9.4594594594594454</v>
      </c>
    </row>
    <row r="17" spans="1:15" x14ac:dyDescent="0.25">
      <c r="A17" s="2">
        <v>41561</v>
      </c>
      <c r="B17" s="3" t="s">
        <v>116</v>
      </c>
      <c r="C17" s="11">
        <v>57</v>
      </c>
      <c r="D17" s="14">
        <v>33</v>
      </c>
      <c r="E17" s="11">
        <f>+C17/D17*1000</f>
        <v>1727.2727272727273</v>
      </c>
      <c r="F17" s="11"/>
      <c r="G17" s="11">
        <v>52</v>
      </c>
      <c r="H17" s="11">
        <v>33</v>
      </c>
      <c r="I17">
        <f t="shared" ref="I17:I22" si="6">+G17/H17*1000</f>
        <v>1575.7575757575758</v>
      </c>
      <c r="J17">
        <f t="shared" ref="J17:J22" si="7">+E17-I17</f>
        <v>151.5151515151515</v>
      </c>
      <c r="K17">
        <f t="shared" si="5"/>
        <v>8.7719298245614024</v>
      </c>
    </row>
    <row r="18" spans="1:15" x14ac:dyDescent="0.25">
      <c r="A18" s="2">
        <v>41561</v>
      </c>
      <c r="B18" s="3" t="s">
        <v>117</v>
      </c>
      <c r="C18" s="11">
        <v>64</v>
      </c>
      <c r="D18" s="14">
        <v>33</v>
      </c>
      <c r="E18" s="11">
        <f>+C18/D18*1000</f>
        <v>1939.3939393939395</v>
      </c>
      <c r="F18" s="11"/>
      <c r="G18" s="11">
        <v>53</v>
      </c>
      <c r="H18" s="11">
        <v>33</v>
      </c>
      <c r="I18">
        <f>+G18/H18*1000</f>
        <v>1606.060606060606</v>
      </c>
      <c r="J18">
        <f t="shared" si="7"/>
        <v>333.33333333333348</v>
      </c>
      <c r="K18">
        <f t="shared" si="5"/>
        <v>17.187500000000007</v>
      </c>
    </row>
    <row r="19" spans="1:15" x14ac:dyDescent="0.25">
      <c r="A19" s="2">
        <v>41561</v>
      </c>
      <c r="B19" s="3" t="s">
        <v>113</v>
      </c>
      <c r="C19" s="11">
        <v>50</v>
      </c>
      <c r="D19" s="14">
        <v>33</v>
      </c>
      <c r="E19" s="11">
        <f t="shared" ref="E19:E22" si="8">+C19/D19*1000</f>
        <v>1515.1515151515152</v>
      </c>
      <c r="F19" s="11"/>
      <c r="G19" s="11">
        <v>44</v>
      </c>
      <c r="H19" s="11">
        <v>33</v>
      </c>
      <c r="I19">
        <f t="shared" si="6"/>
        <v>1333.3333333333333</v>
      </c>
      <c r="J19">
        <f t="shared" si="7"/>
        <v>181.81818181818198</v>
      </c>
      <c r="K19">
        <f t="shared" si="5"/>
        <v>12.000000000000011</v>
      </c>
    </row>
    <row r="20" spans="1:15" x14ac:dyDescent="0.25">
      <c r="A20" s="2">
        <v>41561</v>
      </c>
      <c r="B20" s="3" t="s">
        <v>115</v>
      </c>
      <c r="C20" s="11">
        <v>43</v>
      </c>
      <c r="D20" s="14">
        <v>33</v>
      </c>
      <c r="E20" s="11">
        <f t="shared" si="8"/>
        <v>1303.030303030303</v>
      </c>
      <c r="F20" s="11"/>
      <c r="G20" s="11">
        <v>32</v>
      </c>
      <c r="H20" s="11">
        <v>33</v>
      </c>
      <c r="I20">
        <f t="shared" si="6"/>
        <v>969.69696969696975</v>
      </c>
      <c r="J20">
        <f t="shared" si="7"/>
        <v>333.33333333333326</v>
      </c>
      <c r="K20">
        <f t="shared" si="5"/>
        <v>25.581395348837205</v>
      </c>
    </row>
    <row r="21" spans="1:15" x14ac:dyDescent="0.25">
      <c r="A21" s="2">
        <v>41561</v>
      </c>
      <c r="B21" s="3" t="s">
        <v>114</v>
      </c>
      <c r="C21" s="11">
        <v>35</v>
      </c>
      <c r="D21" s="14">
        <v>33</v>
      </c>
      <c r="E21" s="11">
        <f t="shared" si="8"/>
        <v>1060.6060606060605</v>
      </c>
      <c r="F21" s="11"/>
      <c r="G21" s="11">
        <v>33</v>
      </c>
      <c r="H21" s="11">
        <v>33</v>
      </c>
      <c r="I21">
        <f t="shared" si="6"/>
        <v>1000</v>
      </c>
      <c r="J21">
        <f t="shared" si="7"/>
        <v>60.60606060606051</v>
      </c>
      <c r="K21">
        <f t="shared" si="5"/>
        <v>5.7142857142857055</v>
      </c>
    </row>
    <row r="22" spans="1:15" x14ac:dyDescent="0.25">
      <c r="A22" s="2">
        <v>41561</v>
      </c>
      <c r="B22" s="3" t="s">
        <v>112</v>
      </c>
      <c r="C22" s="11">
        <v>45</v>
      </c>
      <c r="D22" s="14">
        <v>33</v>
      </c>
      <c r="E22" s="11">
        <f t="shared" si="8"/>
        <v>1363.6363636363635</v>
      </c>
      <c r="F22" s="11"/>
      <c r="G22" s="11">
        <v>36</v>
      </c>
      <c r="H22" s="11">
        <v>33</v>
      </c>
      <c r="I22">
        <f t="shared" si="6"/>
        <v>1090.9090909090908</v>
      </c>
      <c r="J22">
        <f t="shared" si="7"/>
        <v>272.72727272727275</v>
      </c>
      <c r="K22">
        <f t="shared" si="5"/>
        <v>20.000000000000004</v>
      </c>
    </row>
    <row r="23" spans="1:15" x14ac:dyDescent="0.25">
      <c r="A23" s="2"/>
      <c r="B23" s="3"/>
      <c r="C23" s="11"/>
      <c r="D23" s="14"/>
      <c r="E23" s="11"/>
      <c r="F23" s="11"/>
      <c r="G23" s="11"/>
      <c r="H23" s="11"/>
    </row>
    <row r="24" spans="1:15" x14ac:dyDescent="0.25">
      <c r="A24" s="2">
        <v>41561</v>
      </c>
      <c r="B24" s="8" t="s">
        <v>109</v>
      </c>
      <c r="C24" s="11">
        <v>5808</v>
      </c>
      <c r="D24" s="14">
        <v>33</v>
      </c>
      <c r="E24" s="11">
        <f>+C24/D24*1000</f>
        <v>176000</v>
      </c>
      <c r="F24" s="11"/>
      <c r="G24" s="11"/>
      <c r="H24" s="11"/>
    </row>
    <row r="25" spans="1:15" x14ac:dyDescent="0.25">
      <c r="B25" s="8" t="s">
        <v>149</v>
      </c>
      <c r="C25" s="11">
        <v>178</v>
      </c>
      <c r="D25" s="14">
        <v>33</v>
      </c>
      <c r="E25" s="11">
        <f>+C25/D25*1000</f>
        <v>5393.939393939394</v>
      </c>
      <c r="F25" s="11"/>
      <c r="G25" s="15" t="s">
        <v>168</v>
      </c>
      <c r="H25" s="11"/>
    </row>
    <row r="26" spans="1:15" x14ac:dyDescent="0.25">
      <c r="A26" s="2"/>
      <c r="B26" s="8" t="s">
        <v>150</v>
      </c>
      <c r="C26" s="11">
        <v>112</v>
      </c>
      <c r="D26" s="14">
        <v>33</v>
      </c>
      <c r="E26" s="11">
        <f>+C26/D26*1000</f>
        <v>3393.939393939394</v>
      </c>
      <c r="F26" s="11"/>
      <c r="G26" s="11" t="s">
        <v>169</v>
      </c>
      <c r="H26" s="11"/>
    </row>
    <row r="27" spans="1:15" x14ac:dyDescent="0.25">
      <c r="B27" s="8"/>
      <c r="C27" s="11"/>
      <c r="D27" s="14"/>
      <c r="E27" s="11"/>
      <c r="F27" s="11"/>
      <c r="G27" s="11" t="s">
        <v>170</v>
      </c>
      <c r="H27" s="11"/>
    </row>
    <row r="28" spans="1:15" x14ac:dyDescent="0.25">
      <c r="B28" s="8"/>
      <c r="C28" s="11"/>
      <c r="D28" s="14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B29" s="8"/>
      <c r="C29" s="11"/>
      <c r="D29" s="14"/>
      <c r="E29" s="11"/>
      <c r="F29" s="11"/>
      <c r="G29" s="11" t="s">
        <v>171</v>
      </c>
      <c r="H29" s="11"/>
    </row>
    <row r="30" spans="1:15" x14ac:dyDescent="0.25">
      <c r="F30" s="11"/>
      <c r="G30" s="11"/>
      <c r="H30" s="11"/>
    </row>
    <row r="31" spans="1:15" x14ac:dyDescent="0.25">
      <c r="F31" s="11"/>
      <c r="G31" s="11" t="s">
        <v>172</v>
      </c>
      <c r="H31" s="11"/>
    </row>
    <row r="32" spans="1:15" x14ac:dyDescent="0.25">
      <c r="B32" s="8"/>
      <c r="C32" s="11"/>
      <c r="D32" s="14"/>
      <c r="E32" s="11"/>
      <c r="F32" s="11"/>
      <c r="G32" s="11" t="s">
        <v>173</v>
      </c>
      <c r="H32" s="11"/>
    </row>
    <row r="33" spans="1:15" x14ac:dyDescent="0.25">
      <c r="B33" s="8"/>
      <c r="C33" s="11"/>
      <c r="D33" s="14"/>
      <c r="E33" s="11"/>
      <c r="F33" s="11"/>
      <c r="G33" s="11"/>
      <c r="H33" s="11"/>
    </row>
    <row r="34" spans="1:15" x14ac:dyDescent="0.25">
      <c r="B34" s="8"/>
      <c r="C34" s="11"/>
      <c r="D34" s="14"/>
      <c r="E34" s="11"/>
      <c r="F34" s="11"/>
      <c r="G34" s="11"/>
      <c r="H34" s="11"/>
    </row>
    <row r="35" spans="1:15" x14ac:dyDescent="0.25">
      <c r="B35" s="8"/>
      <c r="C35" s="11"/>
      <c r="D35" s="14"/>
      <c r="E35" s="11"/>
      <c r="F35" s="11"/>
      <c r="G35" s="11"/>
      <c r="H35" s="11"/>
    </row>
    <row r="36" spans="1:15" x14ac:dyDescent="0.25">
      <c r="B36" s="3"/>
      <c r="D36" s="8"/>
      <c r="E36">
        <f>AVERAGE(E4:E12)</f>
        <v>3053.8720538720536</v>
      </c>
      <c r="I36" s="11"/>
      <c r="J36" s="11"/>
      <c r="K36" s="11"/>
      <c r="L36" s="11"/>
      <c r="M36" s="11"/>
      <c r="N36" s="11"/>
      <c r="O36" s="11"/>
    </row>
    <row r="37" spans="1:15" x14ac:dyDescent="0.25">
      <c r="A37" s="6"/>
      <c r="B37" s="3"/>
      <c r="D37" s="8"/>
      <c r="E37">
        <f>AVERAGE(E15:E22)</f>
        <v>1693.181818181818</v>
      </c>
      <c r="I37" s="11"/>
      <c r="J37" s="11"/>
      <c r="K37" s="11"/>
      <c r="L37" s="11"/>
      <c r="M37" s="11"/>
      <c r="N37" s="11"/>
      <c r="O37" s="11"/>
    </row>
    <row r="38" spans="1:15" x14ac:dyDescent="0.25">
      <c r="B38" s="3"/>
      <c r="D38" s="8"/>
      <c r="E38">
        <f>+(E37-E36)/E36</f>
        <v>-0.44556229327453145</v>
      </c>
      <c r="I38" s="11"/>
      <c r="J38" s="11"/>
      <c r="K38" s="11"/>
      <c r="L38" s="11"/>
      <c r="M38" s="11"/>
      <c r="N38" s="11"/>
      <c r="O38" s="11"/>
    </row>
    <row r="39" spans="1:15" x14ac:dyDescent="0.25">
      <c r="A39" t="s">
        <v>128</v>
      </c>
      <c r="B39" s="3"/>
      <c r="D39" s="8"/>
    </row>
    <row r="40" spans="1:15" x14ac:dyDescent="0.25">
      <c r="B40" s="3"/>
      <c r="C40" t="s">
        <v>0</v>
      </c>
      <c r="D40" s="8" t="s">
        <v>1</v>
      </c>
      <c r="E40" t="s">
        <v>3</v>
      </c>
      <c r="F40" s="6"/>
      <c r="H40" t="s">
        <v>132</v>
      </c>
    </row>
    <row r="41" spans="1:15" x14ac:dyDescent="0.25">
      <c r="B41" s="3"/>
      <c r="D41" s="8"/>
      <c r="H41" t="e">
        <f>(E42-E41)/E42*100</f>
        <v>#DIV/0!</v>
      </c>
    </row>
    <row r="42" spans="1:15" x14ac:dyDescent="0.25">
      <c r="B42" s="3"/>
      <c r="D42" s="8"/>
    </row>
    <row r="43" spans="1:15" x14ac:dyDescent="0.25">
      <c r="B43" s="3"/>
      <c r="D43" s="8"/>
    </row>
    <row r="44" spans="1:15" x14ac:dyDescent="0.25">
      <c r="A44" t="s">
        <v>133</v>
      </c>
      <c r="B44" s="3"/>
      <c r="D44" s="8"/>
    </row>
    <row r="45" spans="1:15" x14ac:dyDescent="0.25">
      <c r="B45" s="3"/>
      <c r="D45" s="8"/>
    </row>
    <row r="46" spans="1:15" x14ac:dyDescent="0.25">
      <c r="B46" s="3"/>
      <c r="D46" s="8">
        <v>33</v>
      </c>
      <c r="E46">
        <f>+C46/D46*1000</f>
        <v>0</v>
      </c>
    </row>
    <row r="47" spans="1:15" x14ac:dyDescent="0.25">
      <c r="B47" s="3"/>
      <c r="D47" s="8"/>
    </row>
    <row r="48" spans="1:15" x14ac:dyDescent="0.25">
      <c r="B48" s="3"/>
      <c r="D48" s="8"/>
    </row>
    <row r="49" spans="2:4" x14ac:dyDescent="0.25">
      <c r="B49" s="3"/>
      <c r="D49" s="8">
        <f>40000*20</f>
        <v>800000</v>
      </c>
    </row>
    <row r="50" spans="2:4" x14ac:dyDescent="0.25">
      <c r="B50" s="3"/>
      <c r="D50" s="8" t="e">
        <f>+D49/E46</f>
        <v>#DIV/0!</v>
      </c>
    </row>
    <row r="51" spans="2:4" x14ac:dyDescent="0.25">
      <c r="B51" s="3"/>
      <c r="D51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C19" sqref="C19"/>
    </sheetView>
  </sheetViews>
  <sheetFormatPr defaultRowHeight="15" x14ac:dyDescent="0.25"/>
  <cols>
    <col min="2" max="2" width="20.5703125" customWidth="1"/>
    <col min="3" max="3" width="24.140625" customWidth="1"/>
  </cols>
  <sheetData>
    <row r="1" spans="1:14" x14ac:dyDescent="0.25">
      <c r="A1" s="3"/>
      <c r="B1" t="s">
        <v>4</v>
      </c>
      <c r="E1" s="8"/>
      <c r="G1" s="4"/>
      <c r="H1" t="s">
        <v>4</v>
      </c>
      <c r="N1" s="2"/>
    </row>
    <row r="2" spans="1:14" x14ac:dyDescent="0.25">
      <c r="A2" s="3"/>
      <c r="B2" t="s">
        <v>5</v>
      </c>
      <c r="E2" s="8"/>
      <c r="G2" s="5"/>
      <c r="H2" t="s">
        <v>5</v>
      </c>
      <c r="N2" t="s">
        <v>226</v>
      </c>
    </row>
    <row r="3" spans="1:14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H3" t="s">
        <v>220</v>
      </c>
      <c r="I3" t="s">
        <v>221</v>
      </c>
      <c r="J3" t="s">
        <v>222</v>
      </c>
      <c r="K3" s="8" t="s">
        <v>1</v>
      </c>
      <c r="L3" t="s">
        <v>224</v>
      </c>
      <c r="M3" t="s">
        <v>225</v>
      </c>
      <c r="N3" s="5"/>
    </row>
    <row r="4" spans="1:14" x14ac:dyDescent="0.25">
      <c r="A4" s="3" t="s">
        <v>120</v>
      </c>
      <c r="B4">
        <v>35</v>
      </c>
      <c r="C4" s="1">
        <v>7000</v>
      </c>
      <c r="D4" s="1">
        <f>+B4+C4</f>
        <v>7035</v>
      </c>
      <c r="E4" s="8">
        <v>33</v>
      </c>
      <c r="H4">
        <v>37</v>
      </c>
      <c r="I4" s="1">
        <v>6563</v>
      </c>
      <c r="J4" s="1">
        <f>+H4+I4</f>
        <v>6600</v>
      </c>
      <c r="K4">
        <v>33</v>
      </c>
      <c r="L4">
        <f>+(B4-H4)/B4*100</f>
        <v>-5.7142857142857144</v>
      </c>
      <c r="M4">
        <f t="shared" ref="M4:N12" si="0">+(C4-I4)/C4*100</f>
        <v>6.2428571428571429</v>
      </c>
      <c r="N4">
        <f t="shared" si="0"/>
        <v>6.1833688699360341</v>
      </c>
    </row>
    <row r="5" spans="1:14" x14ac:dyDescent="0.25">
      <c r="A5" s="3" t="s">
        <v>113</v>
      </c>
      <c r="B5">
        <v>68</v>
      </c>
      <c r="C5" s="1">
        <v>14830</v>
      </c>
      <c r="D5" s="1">
        <f t="shared" ref="D5:D12" si="1">+B5+C5</f>
        <v>14898</v>
      </c>
      <c r="E5" s="8">
        <v>33</v>
      </c>
      <c r="H5">
        <v>45</v>
      </c>
      <c r="I5" s="1">
        <v>16050</v>
      </c>
      <c r="J5" s="1">
        <f t="shared" ref="J5:J12" si="2">+H5+I5</f>
        <v>16095</v>
      </c>
      <c r="K5">
        <v>33</v>
      </c>
      <c r="L5">
        <f t="shared" ref="L5:L12" si="3">+(B5-H5)/B5*100</f>
        <v>33.82352941176471</v>
      </c>
      <c r="M5">
        <f t="shared" si="0"/>
        <v>-8.2265677680377607</v>
      </c>
      <c r="N5">
        <f>+(D5-J5)/D5*100</f>
        <v>-8.0346355215465159</v>
      </c>
    </row>
    <row r="6" spans="1:14" x14ac:dyDescent="0.25">
      <c r="A6" s="3" t="s">
        <v>115</v>
      </c>
      <c r="B6">
        <v>22</v>
      </c>
      <c r="C6" s="1">
        <v>10481</v>
      </c>
      <c r="D6" s="1">
        <f t="shared" si="1"/>
        <v>10503</v>
      </c>
      <c r="E6" s="8">
        <v>33</v>
      </c>
      <c r="H6">
        <v>19</v>
      </c>
      <c r="I6" s="1">
        <v>11431</v>
      </c>
      <c r="J6" s="1">
        <f t="shared" si="2"/>
        <v>11450</v>
      </c>
      <c r="K6">
        <v>33</v>
      </c>
      <c r="L6">
        <f t="shared" si="3"/>
        <v>13.636363636363635</v>
      </c>
      <c r="M6">
        <f t="shared" si="0"/>
        <v>-9.0640206087205417</v>
      </c>
      <c r="N6">
        <f t="shared" si="0"/>
        <v>-9.0164714843378082</v>
      </c>
    </row>
    <row r="7" spans="1:14" x14ac:dyDescent="0.25">
      <c r="A7" s="3" t="s">
        <v>114</v>
      </c>
      <c r="B7">
        <v>20</v>
      </c>
      <c r="C7" s="1">
        <v>11714</v>
      </c>
      <c r="D7" s="1">
        <f t="shared" si="1"/>
        <v>11734</v>
      </c>
      <c r="E7" s="14">
        <v>33</v>
      </c>
      <c r="F7" s="11"/>
      <c r="G7" s="11"/>
      <c r="H7">
        <v>31</v>
      </c>
      <c r="I7" s="1">
        <v>11670</v>
      </c>
      <c r="J7" s="1">
        <f t="shared" si="2"/>
        <v>11701</v>
      </c>
      <c r="K7" s="11">
        <v>33</v>
      </c>
      <c r="L7">
        <f t="shared" si="3"/>
        <v>-55.000000000000007</v>
      </c>
      <c r="M7">
        <f t="shared" si="0"/>
        <v>0.37561891753457399</v>
      </c>
      <c r="N7">
        <f t="shared" si="0"/>
        <v>0.28123402079427307</v>
      </c>
    </row>
    <row r="8" spans="1:14" x14ac:dyDescent="0.25">
      <c r="A8" s="3" t="s">
        <v>112</v>
      </c>
      <c r="B8">
        <v>30</v>
      </c>
      <c r="C8" s="1">
        <v>10411</v>
      </c>
      <c r="D8" s="1">
        <f t="shared" si="1"/>
        <v>10441</v>
      </c>
      <c r="E8" s="14">
        <v>33</v>
      </c>
      <c r="F8" s="11"/>
      <c r="G8" s="11"/>
      <c r="H8">
        <v>38</v>
      </c>
      <c r="I8" s="1">
        <v>29749</v>
      </c>
      <c r="J8" s="1">
        <f t="shared" si="2"/>
        <v>29787</v>
      </c>
      <c r="K8" s="11">
        <v>33</v>
      </c>
      <c r="L8">
        <f t="shared" si="3"/>
        <v>-26.666666666666668</v>
      </c>
      <c r="M8">
        <f t="shared" si="0"/>
        <v>-185.74584574008261</v>
      </c>
      <c r="N8">
        <f t="shared" si="0"/>
        <v>-185.28876544392298</v>
      </c>
    </row>
    <row r="9" spans="1:14" x14ac:dyDescent="0.25">
      <c r="A9" s="3" t="s">
        <v>118</v>
      </c>
      <c r="B9">
        <v>20</v>
      </c>
      <c r="C9" s="1">
        <v>14510</v>
      </c>
      <c r="D9" s="1">
        <f t="shared" si="1"/>
        <v>14530</v>
      </c>
      <c r="E9" s="14">
        <v>33</v>
      </c>
      <c r="F9" s="11"/>
      <c r="G9" s="11"/>
      <c r="H9">
        <v>28</v>
      </c>
      <c r="I9" s="1">
        <v>19110</v>
      </c>
      <c r="J9" s="1">
        <f t="shared" si="2"/>
        <v>19138</v>
      </c>
      <c r="K9" s="11">
        <v>33</v>
      </c>
      <c r="L9">
        <f t="shared" si="3"/>
        <v>-40</v>
      </c>
      <c r="M9">
        <f t="shared" si="0"/>
        <v>-31.702274293590627</v>
      </c>
      <c r="N9">
        <f t="shared" si="0"/>
        <v>-31.713695801789399</v>
      </c>
    </row>
    <row r="10" spans="1:14" x14ac:dyDescent="0.25">
      <c r="A10" s="3" t="s">
        <v>119</v>
      </c>
      <c r="B10">
        <v>24</v>
      </c>
      <c r="C10" s="1">
        <v>12517</v>
      </c>
      <c r="D10" s="1">
        <f t="shared" si="1"/>
        <v>12541</v>
      </c>
      <c r="E10" s="14">
        <v>33</v>
      </c>
      <c r="F10" s="11"/>
      <c r="G10" s="11"/>
      <c r="H10">
        <v>52</v>
      </c>
      <c r="I10" s="1">
        <v>20996</v>
      </c>
      <c r="J10" s="1">
        <f t="shared" si="2"/>
        <v>21048</v>
      </c>
      <c r="K10" s="11">
        <v>33</v>
      </c>
      <c r="L10">
        <f t="shared" si="3"/>
        <v>-116.66666666666667</v>
      </c>
      <c r="M10">
        <f t="shared" si="0"/>
        <v>-67.739873771670531</v>
      </c>
      <c r="N10">
        <f t="shared" si="0"/>
        <v>-67.833506099992022</v>
      </c>
    </row>
    <row r="11" spans="1:14" x14ac:dyDescent="0.25">
      <c r="A11" s="3" t="s">
        <v>116</v>
      </c>
      <c r="B11" s="1">
        <v>23</v>
      </c>
      <c r="C11" s="1">
        <v>12100</v>
      </c>
      <c r="D11" s="1">
        <f t="shared" si="1"/>
        <v>12123</v>
      </c>
      <c r="E11" s="14">
        <v>33</v>
      </c>
      <c r="F11" s="11"/>
      <c r="G11" s="11"/>
      <c r="H11">
        <v>38</v>
      </c>
      <c r="I11" s="1">
        <v>22407</v>
      </c>
      <c r="J11" s="1">
        <f t="shared" si="2"/>
        <v>22445</v>
      </c>
      <c r="K11" s="11">
        <v>33</v>
      </c>
      <c r="L11">
        <f t="shared" si="3"/>
        <v>-65.217391304347828</v>
      </c>
      <c r="M11">
        <f t="shared" si="0"/>
        <v>-85.181818181818187</v>
      </c>
      <c r="N11">
        <f t="shared" si="0"/>
        <v>-85.143941268662871</v>
      </c>
    </row>
    <row r="12" spans="1:14" x14ac:dyDescent="0.25">
      <c r="A12" s="3" t="s">
        <v>117</v>
      </c>
      <c r="B12">
        <v>32</v>
      </c>
      <c r="C12" s="1">
        <v>13259</v>
      </c>
      <c r="D12" s="1">
        <f t="shared" si="1"/>
        <v>13291</v>
      </c>
      <c r="E12" s="14">
        <v>33</v>
      </c>
      <c r="F12" s="11"/>
      <c r="G12" s="11"/>
      <c r="H12">
        <v>31</v>
      </c>
      <c r="I12" s="1">
        <v>19174</v>
      </c>
      <c r="J12" s="1">
        <f t="shared" si="2"/>
        <v>19205</v>
      </c>
      <c r="K12" s="11">
        <v>33</v>
      </c>
      <c r="L12">
        <f t="shared" si="3"/>
        <v>3.125</v>
      </c>
      <c r="M12">
        <f t="shared" si="0"/>
        <v>-44.611207481710537</v>
      </c>
      <c r="N12">
        <f t="shared" si="0"/>
        <v>-44.496275675268983</v>
      </c>
    </row>
    <row r="16" spans="1:14" x14ac:dyDescent="0.25">
      <c r="A16" t="s">
        <v>223</v>
      </c>
      <c r="B16" s="1">
        <v>14984</v>
      </c>
      <c r="C16" s="1">
        <v>29556</v>
      </c>
      <c r="D16" s="1">
        <f t="shared" ref="D16" si="4">+B16+C16</f>
        <v>44540</v>
      </c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4:5" x14ac:dyDescent="0.25">
      <c r="E33" s="1"/>
    </row>
    <row r="34" spans="4:5" x14ac:dyDescent="0.25">
      <c r="E34" s="1"/>
    </row>
    <row r="35" spans="4:5" x14ac:dyDescent="0.25">
      <c r="D35" s="1"/>
      <c r="E35" s="1"/>
    </row>
    <row r="36" spans="4:5" x14ac:dyDescent="0.25">
      <c r="E36" s="1"/>
    </row>
    <row r="37" spans="4:5" x14ac:dyDescent="0.25">
      <c r="D37" s="1"/>
      <c r="E37" s="1"/>
    </row>
    <row r="38" spans="4:5" x14ac:dyDescent="0.25">
      <c r="E38" s="1"/>
    </row>
    <row r="39" spans="4:5" x14ac:dyDescent="0.25">
      <c r="E39" s="1"/>
    </row>
    <row r="40" spans="4:5" x14ac:dyDescent="0.25">
      <c r="E40" s="1"/>
    </row>
    <row r="41" spans="4:5" x14ac:dyDescent="0.25">
      <c r="E41" s="1"/>
    </row>
    <row r="42" spans="4:5" x14ac:dyDescent="0.25">
      <c r="E42" s="1"/>
    </row>
    <row r="43" spans="4:5" x14ac:dyDescent="0.25">
      <c r="E43" s="1"/>
    </row>
    <row r="44" spans="4:5" x14ac:dyDescent="0.25">
      <c r="E44" s="1"/>
    </row>
    <row r="45" spans="4:5" x14ac:dyDescent="0.25">
      <c r="E45" s="1"/>
    </row>
    <row r="46" spans="4:5" x14ac:dyDescent="0.25">
      <c r="E46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85" zoomScaleNormal="85" workbookViewId="0">
      <selection activeCell="F15" sqref="F15"/>
    </sheetView>
  </sheetViews>
  <sheetFormatPr defaultRowHeight="15" x14ac:dyDescent="0.25"/>
  <cols>
    <col min="1" max="1" width="10.7109375" bestFit="1" customWidth="1"/>
    <col min="2" max="2" width="20.140625" customWidth="1"/>
    <col min="4" max="4" width="9.7109375" bestFit="1" customWidth="1"/>
    <col min="6" max="6" width="10.5703125" bestFit="1" customWidth="1"/>
  </cols>
  <sheetData>
    <row r="1" spans="1:13" x14ac:dyDescent="0.25">
      <c r="B1" s="3"/>
      <c r="C1" t="s">
        <v>4</v>
      </c>
      <c r="D1" s="8"/>
      <c r="F1" s="8"/>
      <c r="H1" s="4"/>
      <c r="I1" t="s">
        <v>4</v>
      </c>
      <c r="M1" s="2"/>
    </row>
    <row r="2" spans="1:13" x14ac:dyDescent="0.25">
      <c r="A2" s="5"/>
      <c r="B2" s="3"/>
      <c r="C2" t="s">
        <v>5</v>
      </c>
      <c r="D2" s="8"/>
      <c r="F2" s="8"/>
      <c r="H2" s="5"/>
      <c r="I2" t="s">
        <v>5</v>
      </c>
      <c r="L2" t="s">
        <v>9</v>
      </c>
      <c r="M2" t="s">
        <v>60</v>
      </c>
    </row>
    <row r="3" spans="1:13" x14ac:dyDescent="0.25">
      <c r="A3" t="s">
        <v>2</v>
      </c>
      <c r="B3" s="3" t="s">
        <v>106</v>
      </c>
      <c r="C3" t="s">
        <v>0</v>
      </c>
      <c r="D3" s="8" t="s">
        <v>1</v>
      </c>
      <c r="E3" t="s">
        <v>3</v>
      </c>
      <c r="F3" s="8" t="s">
        <v>233</v>
      </c>
      <c r="J3" t="s">
        <v>1</v>
      </c>
      <c r="K3" t="s">
        <v>6</v>
      </c>
      <c r="L3" t="s">
        <v>10</v>
      </c>
      <c r="M3" s="5"/>
    </row>
    <row r="4" spans="1:13" x14ac:dyDescent="0.25">
      <c r="A4" s="2">
        <v>41579</v>
      </c>
      <c r="B4" s="3" t="s">
        <v>118</v>
      </c>
      <c r="C4">
        <v>90</v>
      </c>
      <c r="D4" s="8">
        <v>33</v>
      </c>
      <c r="E4">
        <f>+C4/D4*1000</f>
        <v>2727.272727272727</v>
      </c>
      <c r="F4" s="8">
        <f>(1000/D4)*C4</f>
        <v>2727.2727272727275</v>
      </c>
      <c r="I4">
        <v>89</v>
      </c>
      <c r="J4">
        <v>33</v>
      </c>
      <c r="K4">
        <f>+I4/J4*1000</f>
        <v>2696.969696969697</v>
      </c>
      <c r="L4">
        <f t="shared" ref="L4:L11" si="0">+E4-K4</f>
        <v>30.303030303030027</v>
      </c>
      <c r="M4">
        <f t="shared" ref="M4:M12" si="1">+L4/E4*100</f>
        <v>1.1111111111111012</v>
      </c>
    </row>
    <row r="5" spans="1:13" x14ac:dyDescent="0.25">
      <c r="A5" s="2">
        <v>41579</v>
      </c>
      <c r="B5" s="3" t="s">
        <v>119</v>
      </c>
      <c r="C5" s="11">
        <v>96</v>
      </c>
      <c r="D5" s="8">
        <v>33</v>
      </c>
      <c r="E5">
        <f t="shared" ref="E5:E11" si="2">+C5/D5*1000</f>
        <v>2909.090909090909</v>
      </c>
      <c r="F5" s="8">
        <f t="shared" ref="F5:F12" si="3">(1000/D5)*C5</f>
        <v>2909.090909090909</v>
      </c>
      <c r="I5">
        <v>89</v>
      </c>
      <c r="J5">
        <v>33</v>
      </c>
      <c r="K5">
        <f t="shared" ref="K5:K12" si="4">+I5/J5*1000</f>
        <v>2696.969696969697</v>
      </c>
      <c r="L5">
        <f t="shared" si="0"/>
        <v>212.12121212121201</v>
      </c>
      <c r="M5">
        <f t="shared" si="1"/>
        <v>7.2916666666666625</v>
      </c>
    </row>
    <row r="6" spans="1:13" x14ac:dyDescent="0.25">
      <c r="A6" s="2">
        <v>41579</v>
      </c>
      <c r="B6" s="3" t="s">
        <v>116</v>
      </c>
      <c r="C6" s="11">
        <v>83</v>
      </c>
      <c r="D6" s="8">
        <v>33</v>
      </c>
      <c r="E6">
        <f t="shared" si="2"/>
        <v>2515.151515151515</v>
      </c>
      <c r="F6" s="8">
        <f t="shared" si="3"/>
        <v>2515.1515151515155</v>
      </c>
      <c r="I6">
        <v>79</v>
      </c>
      <c r="J6">
        <v>33</v>
      </c>
      <c r="K6">
        <f t="shared" si="4"/>
        <v>2393.939393939394</v>
      </c>
      <c r="L6">
        <f t="shared" si="0"/>
        <v>121.21212121212102</v>
      </c>
      <c r="M6">
        <f t="shared" si="1"/>
        <v>4.8192771084337274</v>
      </c>
    </row>
    <row r="7" spans="1:13" x14ac:dyDescent="0.25">
      <c r="A7" s="2">
        <v>41579</v>
      </c>
      <c r="B7" s="3" t="s">
        <v>117</v>
      </c>
      <c r="C7" s="11">
        <v>86</v>
      </c>
      <c r="D7" s="14">
        <v>33</v>
      </c>
      <c r="E7" s="11">
        <f t="shared" si="2"/>
        <v>2606.060606060606</v>
      </c>
      <c r="F7" s="8">
        <f t="shared" si="3"/>
        <v>2606.060606060606</v>
      </c>
      <c r="H7" s="11"/>
      <c r="I7" s="11">
        <v>64</v>
      </c>
      <c r="J7" s="11">
        <v>33</v>
      </c>
      <c r="K7">
        <f t="shared" si="4"/>
        <v>1939.3939393939395</v>
      </c>
      <c r="L7">
        <f t="shared" si="0"/>
        <v>666.66666666666652</v>
      </c>
      <c r="M7">
        <f t="shared" si="1"/>
        <v>25.581395348837205</v>
      </c>
    </row>
    <row r="8" spans="1:13" x14ac:dyDescent="0.25">
      <c r="A8" s="2">
        <v>41579</v>
      </c>
      <c r="B8" s="3" t="s">
        <v>113</v>
      </c>
      <c r="C8" s="11">
        <v>81</v>
      </c>
      <c r="D8" s="14">
        <v>33</v>
      </c>
      <c r="E8" s="11">
        <f t="shared" si="2"/>
        <v>2454.5454545454545</v>
      </c>
      <c r="F8" s="8">
        <f t="shared" si="3"/>
        <v>2454.5454545454545</v>
      </c>
      <c r="H8" s="11"/>
      <c r="I8" s="11">
        <v>263</v>
      </c>
      <c r="J8" s="11">
        <v>33</v>
      </c>
      <c r="K8">
        <f t="shared" si="4"/>
        <v>7969.69696969697</v>
      </c>
      <c r="L8">
        <f t="shared" si="0"/>
        <v>-5515.1515151515159</v>
      </c>
      <c r="M8">
        <f t="shared" si="1"/>
        <v>-224.69135802469137</v>
      </c>
    </row>
    <row r="9" spans="1:13" x14ac:dyDescent="0.25">
      <c r="A9" s="2">
        <v>41579</v>
      </c>
      <c r="B9" s="3" t="s">
        <v>115</v>
      </c>
      <c r="C9" s="11">
        <v>74</v>
      </c>
      <c r="D9" s="14">
        <v>33</v>
      </c>
      <c r="E9" s="11">
        <f t="shared" si="2"/>
        <v>2242.424242424242</v>
      </c>
      <c r="F9" s="8">
        <f t="shared" si="3"/>
        <v>2242.4242424242425</v>
      </c>
      <c r="H9" s="11"/>
      <c r="I9" s="11">
        <v>151</v>
      </c>
      <c r="J9" s="11">
        <v>33</v>
      </c>
      <c r="K9">
        <f t="shared" si="4"/>
        <v>4575.757575757576</v>
      </c>
      <c r="L9">
        <f t="shared" si="0"/>
        <v>-2333.3333333333339</v>
      </c>
      <c r="M9">
        <f t="shared" si="1"/>
        <v>-104.05405405405411</v>
      </c>
    </row>
    <row r="10" spans="1:13" x14ac:dyDescent="0.25">
      <c r="A10" s="2">
        <v>41579</v>
      </c>
      <c r="B10" s="3" t="s">
        <v>114</v>
      </c>
      <c r="C10" s="11">
        <v>65</v>
      </c>
      <c r="D10" s="14">
        <v>33</v>
      </c>
      <c r="E10" s="11">
        <f t="shared" si="2"/>
        <v>1969.6969696969697</v>
      </c>
      <c r="F10" s="8">
        <f t="shared" si="3"/>
        <v>1969.6969696969697</v>
      </c>
      <c r="H10" s="11"/>
      <c r="I10" s="11">
        <v>68</v>
      </c>
      <c r="J10" s="11">
        <v>33</v>
      </c>
      <c r="K10">
        <f t="shared" si="4"/>
        <v>2060.6060606060605</v>
      </c>
      <c r="L10">
        <f t="shared" si="0"/>
        <v>-90.909090909090764</v>
      </c>
      <c r="M10">
        <f t="shared" si="1"/>
        <v>-4.6153846153846079</v>
      </c>
    </row>
    <row r="11" spans="1:13" x14ac:dyDescent="0.25">
      <c r="A11" s="2">
        <v>41579</v>
      </c>
      <c r="B11" s="3" t="s">
        <v>112</v>
      </c>
      <c r="C11" s="11">
        <v>82</v>
      </c>
      <c r="D11" s="14">
        <v>33</v>
      </c>
      <c r="E11" s="11">
        <f t="shared" si="2"/>
        <v>2484.848484848485</v>
      </c>
      <c r="F11" s="8">
        <f t="shared" si="3"/>
        <v>2484.848484848485</v>
      </c>
      <c r="H11" s="11"/>
      <c r="I11" s="11">
        <v>71</v>
      </c>
      <c r="J11" s="11">
        <v>33</v>
      </c>
      <c r="K11">
        <f t="shared" si="4"/>
        <v>2151.5151515151515</v>
      </c>
      <c r="L11">
        <f t="shared" si="0"/>
        <v>333.33333333333348</v>
      </c>
      <c r="M11">
        <f t="shared" si="1"/>
        <v>13.41463414634147</v>
      </c>
    </row>
    <row r="12" spans="1:13" x14ac:dyDescent="0.25">
      <c r="A12" s="2">
        <v>41579</v>
      </c>
      <c r="B12" s="3" t="s">
        <v>120</v>
      </c>
      <c r="C12" s="11">
        <v>27</v>
      </c>
      <c r="D12" s="14">
        <v>33</v>
      </c>
      <c r="E12" s="11">
        <f>+C12/D12*1000</f>
        <v>818.18181818181824</v>
      </c>
      <c r="F12" s="8">
        <f t="shared" si="3"/>
        <v>818.18181818181824</v>
      </c>
      <c r="H12" s="11"/>
      <c r="I12" s="11">
        <v>32</v>
      </c>
      <c r="J12" s="11">
        <v>33</v>
      </c>
      <c r="K12">
        <f t="shared" si="4"/>
        <v>969.69696969696975</v>
      </c>
      <c r="L12">
        <f>+E12-K12</f>
        <v>-151.5151515151515</v>
      </c>
      <c r="M12">
        <f t="shared" si="1"/>
        <v>-18.518518518518515</v>
      </c>
    </row>
    <row r="13" spans="1:13" x14ac:dyDescent="0.25">
      <c r="A13" s="2"/>
      <c r="B13" s="3"/>
      <c r="C13" s="11"/>
      <c r="D13" s="14"/>
      <c r="E13" s="11"/>
      <c r="F13" t="s">
        <v>234</v>
      </c>
      <c r="G13" t="s">
        <v>235</v>
      </c>
      <c r="H13" s="11"/>
      <c r="I13" s="11"/>
      <c r="J13" s="11"/>
    </row>
    <row r="14" spans="1:13" x14ac:dyDescent="0.25">
      <c r="F14" s="8">
        <f>AVERAGE(F4:F12)</f>
        <v>2303.030303030303</v>
      </c>
      <c r="G14">
        <f>_xlfn.STDEV.S(F4:F12)</f>
        <v>618.43429187753247</v>
      </c>
      <c r="H14" s="11"/>
      <c r="I14" s="11"/>
      <c r="J14" s="11"/>
    </row>
    <row r="15" spans="1:13" x14ac:dyDescent="0.25">
      <c r="H15" s="11"/>
      <c r="I15" s="15"/>
      <c r="J15" s="11"/>
    </row>
    <row r="16" spans="1:13" x14ac:dyDescent="0.25">
      <c r="A16" s="2">
        <v>41579</v>
      </c>
      <c r="B16" s="8" t="s">
        <v>109</v>
      </c>
      <c r="C16" s="11">
        <v>30036</v>
      </c>
      <c r="D16" s="14">
        <v>33</v>
      </c>
      <c r="E16" s="11">
        <f>+C16/D16*1000</f>
        <v>910181.81818181812</v>
      </c>
      <c r="H16" s="11"/>
      <c r="I16" s="11"/>
      <c r="J16" s="11"/>
    </row>
    <row r="17" spans="1:17" x14ac:dyDescent="0.25">
      <c r="B17" s="8"/>
      <c r="C17" s="11"/>
      <c r="D17" s="14"/>
      <c r="E17" s="11"/>
      <c r="H17" s="11"/>
      <c r="I17" s="11"/>
      <c r="J17" s="11"/>
    </row>
    <row r="18" spans="1:17" x14ac:dyDescent="0.25">
      <c r="B18" s="3"/>
      <c r="D18" s="8"/>
      <c r="E18">
        <f>AVERAGE(E4:E12)</f>
        <v>2303.0303030303025</v>
      </c>
      <c r="K18" s="11"/>
      <c r="L18" s="11"/>
      <c r="M18" s="11"/>
      <c r="N18" s="11"/>
    </row>
    <row r="19" spans="1:17" x14ac:dyDescent="0.25">
      <c r="A19" s="6"/>
      <c r="B19" s="3"/>
      <c r="D19" s="8"/>
      <c r="E19">
        <f>AVERAGE(L4:L12)</f>
        <v>-747.4747474747478</v>
      </c>
      <c r="K19" s="11"/>
      <c r="L19" s="11"/>
      <c r="M19" s="11"/>
      <c r="N19" s="11"/>
    </row>
    <row r="20" spans="1:17" x14ac:dyDescent="0.25">
      <c r="B20" s="3"/>
      <c r="D20" s="8"/>
      <c r="E20">
        <f>+(E19-E18)/E18</f>
        <v>-1.3245614035087721</v>
      </c>
      <c r="K20" s="11"/>
      <c r="L20" s="11"/>
      <c r="M20" s="11"/>
      <c r="N20" s="11"/>
      <c r="O20" s="11"/>
      <c r="P20" s="11"/>
      <c r="Q20" s="11"/>
    </row>
    <row r="21" spans="1:17" x14ac:dyDescent="0.25">
      <c r="B21" s="3"/>
      <c r="D21" s="8"/>
    </row>
    <row r="22" spans="1:17" x14ac:dyDescent="0.25">
      <c r="B22" s="3"/>
      <c r="D22" s="8"/>
      <c r="H22" s="6"/>
    </row>
    <row r="23" spans="1:17" x14ac:dyDescent="0.25">
      <c r="B23" s="3"/>
      <c r="D23" s="8"/>
    </row>
    <row r="24" spans="1:17" x14ac:dyDescent="0.25">
      <c r="B24" s="3"/>
      <c r="D24" s="8"/>
    </row>
    <row r="25" spans="1:17" x14ac:dyDescent="0.25">
      <c r="B25" s="3"/>
      <c r="D25" s="8"/>
    </row>
    <row r="26" spans="1:17" x14ac:dyDescent="0.25">
      <c r="B26" s="3"/>
      <c r="D26" s="8"/>
    </row>
    <row r="27" spans="1:17" x14ac:dyDescent="0.25">
      <c r="B27" s="3"/>
      <c r="D27" s="8"/>
    </row>
    <row r="28" spans="1:17" x14ac:dyDescent="0.25">
      <c r="B28" s="3"/>
      <c r="D28" s="8"/>
      <c r="F28" s="1"/>
      <c r="O28" s="11"/>
      <c r="P28" s="11"/>
      <c r="Q28" s="11"/>
    </row>
    <row r="29" spans="1:17" x14ac:dyDescent="0.25">
      <c r="B29" s="3"/>
      <c r="D29" s="8"/>
      <c r="F29" s="1"/>
      <c r="O29" s="11"/>
      <c r="P29" s="11"/>
      <c r="Q29" s="11"/>
    </row>
    <row r="30" spans="1:17" x14ac:dyDescent="0.25">
      <c r="B30" s="3"/>
      <c r="D30" s="8"/>
      <c r="F30" s="1"/>
      <c r="O30" s="11"/>
      <c r="P30" s="11"/>
      <c r="Q30" s="11"/>
    </row>
    <row r="31" spans="1:17" x14ac:dyDescent="0.25">
      <c r="B31" s="3"/>
      <c r="D31" s="8"/>
      <c r="F31" s="1"/>
    </row>
    <row r="32" spans="1:17" x14ac:dyDescent="0.25">
      <c r="B32" s="3"/>
      <c r="D32" s="8"/>
      <c r="F32" s="1"/>
    </row>
    <row r="33" spans="2:6" x14ac:dyDescent="0.25">
      <c r="B33" s="3"/>
      <c r="D33" s="8"/>
      <c r="F33" s="1"/>
    </row>
    <row r="34" spans="2:6" x14ac:dyDescent="0.25">
      <c r="F34" s="1"/>
    </row>
    <row r="35" spans="2:6" x14ac:dyDescent="0.25">
      <c r="F35" s="1"/>
    </row>
    <row r="36" spans="2:6" x14ac:dyDescent="0.25">
      <c r="F36" s="1"/>
    </row>
    <row r="37" spans="2:6" x14ac:dyDescent="0.25">
      <c r="F37" s="1"/>
    </row>
    <row r="38" spans="2:6" x14ac:dyDescent="0.25">
      <c r="F38" s="1"/>
    </row>
    <row r="39" spans="2:6" x14ac:dyDescent="0.25">
      <c r="F39" s="1"/>
    </row>
    <row r="40" spans="2:6" x14ac:dyDescent="0.25">
      <c r="F40" s="1"/>
    </row>
    <row r="41" spans="2:6" x14ac:dyDescent="0.25">
      <c r="F41" s="1"/>
    </row>
    <row r="42" spans="2:6" x14ac:dyDescent="0.25">
      <c r="F42" s="1"/>
    </row>
    <row r="43" spans="2:6" x14ac:dyDescent="0.25">
      <c r="F43" s="1"/>
    </row>
    <row r="44" spans="2:6" x14ac:dyDescent="0.25">
      <c r="F44" s="1"/>
    </row>
    <row r="45" spans="2:6" x14ac:dyDescent="0.25">
      <c r="F45" s="1"/>
    </row>
    <row r="46" spans="2:6" x14ac:dyDescent="0.25">
      <c r="F46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D23" sqref="D23"/>
    </sheetView>
  </sheetViews>
  <sheetFormatPr defaultRowHeight="15" x14ac:dyDescent="0.25"/>
  <cols>
    <col min="2" max="3" width="14" customWidth="1"/>
    <col min="6" max="6" width="10.5703125" bestFit="1" customWidth="1"/>
  </cols>
  <sheetData>
    <row r="1" spans="1:15" x14ac:dyDescent="0.25">
      <c r="A1" s="3"/>
      <c r="B1" t="s">
        <v>4</v>
      </c>
      <c r="E1" s="8"/>
      <c r="F1" s="8"/>
      <c r="I1" t="s">
        <v>4</v>
      </c>
      <c r="O1" s="2"/>
    </row>
    <row r="2" spans="1:15" x14ac:dyDescent="0.25">
      <c r="A2" s="3"/>
      <c r="B2" t="s">
        <v>5</v>
      </c>
      <c r="E2" s="8"/>
      <c r="F2" s="8"/>
      <c r="I2" t="s">
        <v>5</v>
      </c>
      <c r="O2" t="s">
        <v>226</v>
      </c>
    </row>
    <row r="3" spans="1:15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I3" t="s">
        <v>220</v>
      </c>
      <c r="J3" t="s">
        <v>221</v>
      </c>
      <c r="K3" t="s">
        <v>222</v>
      </c>
      <c r="L3" s="8" t="s">
        <v>1</v>
      </c>
      <c r="M3" t="s">
        <v>224</v>
      </c>
      <c r="N3" t="s">
        <v>225</v>
      </c>
      <c r="O3" s="5"/>
    </row>
    <row r="4" spans="1:15" x14ac:dyDescent="0.25">
      <c r="A4" s="3" t="s">
        <v>120</v>
      </c>
      <c r="B4">
        <v>5</v>
      </c>
      <c r="C4" s="1">
        <v>989</v>
      </c>
      <c r="D4" s="1">
        <f>+B4+C4</f>
        <v>994</v>
      </c>
      <c r="E4" s="8">
        <v>33</v>
      </c>
      <c r="F4" s="8">
        <f>(1000/E4)*B4</f>
        <v>151.51515151515153</v>
      </c>
      <c r="I4">
        <v>13</v>
      </c>
      <c r="J4" s="1">
        <v>1240</v>
      </c>
      <c r="K4" s="1">
        <f t="shared" ref="K4:K5" si="0">+I4+J4</f>
        <v>1253</v>
      </c>
      <c r="L4">
        <v>33</v>
      </c>
      <c r="M4">
        <f>+(B4-I4/B4*100)</f>
        <v>-255</v>
      </c>
      <c r="N4">
        <f>+(C4-J4/C4*100)</f>
        <v>863.62082912032361</v>
      </c>
      <c r="O4">
        <f t="shared" ref="O4:O12" si="1">+(D4-K4)/D4*100</f>
        <v>-26.056338028169012</v>
      </c>
    </row>
    <row r="5" spans="1:15" x14ac:dyDescent="0.25">
      <c r="A5" s="3" t="s">
        <v>113</v>
      </c>
      <c r="B5">
        <v>6</v>
      </c>
      <c r="C5" s="1">
        <v>1849</v>
      </c>
      <c r="D5" s="1">
        <f>+I4+J4</f>
        <v>1253</v>
      </c>
      <c r="E5" s="8">
        <v>33</v>
      </c>
      <c r="F5" s="8">
        <f t="shared" ref="F5:F12" si="2">(1000/E5)*B5</f>
        <v>181.81818181818181</v>
      </c>
      <c r="I5">
        <v>8</v>
      </c>
      <c r="J5" s="1">
        <v>1703</v>
      </c>
      <c r="K5" s="1">
        <f t="shared" si="0"/>
        <v>1711</v>
      </c>
      <c r="L5">
        <v>33</v>
      </c>
      <c r="M5">
        <f t="shared" ref="M5:M12" si="3">+(B5-I5/B5*100)</f>
        <v>-127.33333333333331</v>
      </c>
      <c r="N5">
        <f t="shared" ref="N5:N12" si="4">+(C5-J5/C5*100)</f>
        <v>1756.8961600865332</v>
      </c>
      <c r="O5">
        <f t="shared" si="1"/>
        <v>-36.552274541101362</v>
      </c>
    </row>
    <row r="6" spans="1:15" x14ac:dyDescent="0.25">
      <c r="A6" s="3" t="s">
        <v>115</v>
      </c>
      <c r="B6">
        <v>8</v>
      </c>
      <c r="C6">
        <v>2446</v>
      </c>
      <c r="D6" s="1">
        <f>+B5+C5</f>
        <v>1855</v>
      </c>
      <c r="E6" s="8">
        <v>33</v>
      </c>
      <c r="F6" s="8">
        <f t="shared" si="2"/>
        <v>242.42424242424244</v>
      </c>
      <c r="I6">
        <v>9</v>
      </c>
      <c r="J6" s="1">
        <v>2329</v>
      </c>
      <c r="K6" s="1">
        <f>+I6+J6</f>
        <v>2338</v>
      </c>
      <c r="L6">
        <v>33</v>
      </c>
      <c r="M6">
        <f t="shared" si="3"/>
        <v>-104.5</v>
      </c>
      <c r="N6">
        <f t="shared" si="4"/>
        <v>2350.783319705642</v>
      </c>
      <c r="O6">
        <f t="shared" si="1"/>
        <v>-26.037735849056602</v>
      </c>
    </row>
    <row r="7" spans="1:15" x14ac:dyDescent="0.25">
      <c r="A7" s="3" t="s">
        <v>114</v>
      </c>
      <c r="B7">
        <v>7</v>
      </c>
      <c r="C7">
        <v>2265</v>
      </c>
      <c r="D7" s="1">
        <f>+I5+J5</f>
        <v>1711</v>
      </c>
      <c r="E7" s="14">
        <v>33</v>
      </c>
      <c r="F7" s="8">
        <f t="shared" si="2"/>
        <v>212.12121212121212</v>
      </c>
      <c r="H7" s="11"/>
      <c r="I7" s="11">
        <v>7</v>
      </c>
      <c r="J7" s="1">
        <v>1701</v>
      </c>
      <c r="K7" s="1">
        <f t="shared" ref="K7:K12" si="5">+I7+J7</f>
        <v>1708</v>
      </c>
      <c r="L7" s="11">
        <v>33</v>
      </c>
      <c r="M7">
        <f t="shared" si="3"/>
        <v>-93</v>
      </c>
      <c r="N7">
        <f t="shared" si="4"/>
        <v>2189.9006622516558</v>
      </c>
      <c r="O7">
        <f t="shared" si="1"/>
        <v>0.17533606078316774</v>
      </c>
    </row>
    <row r="8" spans="1:15" x14ac:dyDescent="0.25">
      <c r="A8" s="3" t="s">
        <v>112</v>
      </c>
      <c r="B8">
        <v>6</v>
      </c>
      <c r="C8" s="1">
        <v>2954</v>
      </c>
      <c r="D8" s="1">
        <f t="shared" ref="D8:D12" si="6">+B8+C8</f>
        <v>2960</v>
      </c>
      <c r="E8" s="14">
        <v>33</v>
      </c>
      <c r="F8" s="8">
        <f t="shared" si="2"/>
        <v>181.81818181818181</v>
      </c>
      <c r="H8" s="11"/>
      <c r="I8" s="11">
        <v>7</v>
      </c>
      <c r="J8" s="1">
        <v>2553</v>
      </c>
      <c r="K8" s="1">
        <f t="shared" si="5"/>
        <v>2560</v>
      </c>
      <c r="L8" s="11">
        <v>33</v>
      </c>
      <c r="M8">
        <f t="shared" si="3"/>
        <v>-110.66666666666667</v>
      </c>
      <c r="N8">
        <f t="shared" si="4"/>
        <v>2867.5748138117806</v>
      </c>
      <c r="O8">
        <f t="shared" si="1"/>
        <v>13.513513513513514</v>
      </c>
    </row>
    <row r="9" spans="1:15" x14ac:dyDescent="0.25">
      <c r="A9" s="3" t="s">
        <v>118</v>
      </c>
      <c r="B9">
        <v>11</v>
      </c>
      <c r="C9" s="1">
        <v>1785</v>
      </c>
      <c r="D9" s="1">
        <f t="shared" si="6"/>
        <v>1796</v>
      </c>
      <c r="E9" s="14">
        <v>33</v>
      </c>
      <c r="F9" s="8">
        <f t="shared" si="2"/>
        <v>333.33333333333337</v>
      </c>
      <c r="H9" s="11"/>
      <c r="I9" s="11">
        <v>8</v>
      </c>
      <c r="J9" s="1">
        <v>2225</v>
      </c>
      <c r="K9" s="1">
        <f t="shared" si="5"/>
        <v>2233</v>
      </c>
      <c r="L9" s="11">
        <v>33</v>
      </c>
      <c r="M9">
        <f t="shared" si="3"/>
        <v>-61.727272727272734</v>
      </c>
      <c r="N9">
        <f t="shared" si="4"/>
        <v>1660.3501400560224</v>
      </c>
      <c r="O9">
        <f t="shared" si="1"/>
        <v>-24.331848552338531</v>
      </c>
    </row>
    <row r="10" spans="1:15" x14ac:dyDescent="0.25">
      <c r="A10" s="3" t="s">
        <v>119</v>
      </c>
      <c r="B10">
        <v>6</v>
      </c>
      <c r="C10" s="1">
        <v>1480</v>
      </c>
      <c r="D10" s="1">
        <f t="shared" si="6"/>
        <v>1486</v>
      </c>
      <c r="E10" s="14">
        <v>33</v>
      </c>
      <c r="F10" s="8">
        <f t="shared" si="2"/>
        <v>181.81818181818181</v>
      </c>
      <c r="H10" s="11"/>
      <c r="I10" s="11">
        <v>3</v>
      </c>
      <c r="J10" s="1">
        <v>1261</v>
      </c>
      <c r="K10" s="1">
        <f t="shared" si="5"/>
        <v>1264</v>
      </c>
      <c r="L10" s="11">
        <v>33</v>
      </c>
      <c r="M10">
        <f t="shared" si="3"/>
        <v>-44</v>
      </c>
      <c r="N10">
        <f t="shared" si="4"/>
        <v>1394.7972972972973</v>
      </c>
      <c r="O10">
        <f t="shared" si="1"/>
        <v>14.939434724091521</v>
      </c>
    </row>
    <row r="11" spans="1:15" x14ac:dyDescent="0.25">
      <c r="A11" s="3" t="s">
        <v>116</v>
      </c>
      <c r="B11" s="1">
        <v>14</v>
      </c>
      <c r="C11" s="1">
        <v>1850</v>
      </c>
      <c r="D11" s="1">
        <f t="shared" si="6"/>
        <v>1864</v>
      </c>
      <c r="E11" s="14">
        <v>33</v>
      </c>
      <c r="F11" s="8">
        <f t="shared" si="2"/>
        <v>424.24242424242425</v>
      </c>
      <c r="H11" s="11"/>
      <c r="I11" s="16">
        <v>10</v>
      </c>
      <c r="J11" s="1">
        <v>2110</v>
      </c>
      <c r="K11" s="1">
        <f t="shared" si="5"/>
        <v>2120</v>
      </c>
      <c r="L11" s="11">
        <v>33</v>
      </c>
      <c r="M11">
        <f t="shared" si="3"/>
        <v>-57.428571428571431</v>
      </c>
      <c r="N11">
        <f t="shared" si="4"/>
        <v>1735.9459459459461</v>
      </c>
      <c r="O11">
        <f t="shared" si="1"/>
        <v>-13.733905579399142</v>
      </c>
    </row>
    <row r="12" spans="1:15" x14ac:dyDescent="0.25">
      <c r="A12" s="3" t="s">
        <v>117</v>
      </c>
      <c r="B12">
        <v>5</v>
      </c>
      <c r="C12" s="1">
        <v>1771</v>
      </c>
      <c r="D12" s="1">
        <f t="shared" si="6"/>
        <v>1776</v>
      </c>
      <c r="E12" s="14">
        <v>33</v>
      </c>
      <c r="F12" s="8">
        <f t="shared" si="2"/>
        <v>151.51515151515153</v>
      </c>
      <c r="H12" s="11"/>
      <c r="I12" s="11">
        <v>6</v>
      </c>
      <c r="J12" s="1">
        <v>2117</v>
      </c>
      <c r="K12" s="1">
        <f t="shared" si="5"/>
        <v>2123</v>
      </c>
      <c r="L12" s="11">
        <v>33</v>
      </c>
      <c r="M12">
        <f t="shared" si="3"/>
        <v>-115</v>
      </c>
      <c r="N12">
        <f t="shared" si="4"/>
        <v>1651.4630152456239</v>
      </c>
      <c r="O12">
        <f t="shared" si="1"/>
        <v>-19.538288288288289</v>
      </c>
    </row>
    <row r="13" spans="1:15" x14ac:dyDescent="0.25">
      <c r="F13" t="s">
        <v>234</v>
      </c>
      <c r="G13" t="s">
        <v>235</v>
      </c>
    </row>
    <row r="14" spans="1:15" x14ac:dyDescent="0.25">
      <c r="A14" t="s">
        <v>237</v>
      </c>
      <c r="F14" s="8">
        <f>AVERAGE(F4:F12)</f>
        <v>228.95622895622895</v>
      </c>
      <c r="G14">
        <f>_xlfn.STDEV.S(F4:F12)</f>
        <v>92.301347891399374</v>
      </c>
    </row>
    <row r="15" spans="1:15" x14ac:dyDescent="0.25">
      <c r="A15" t="s">
        <v>238</v>
      </c>
    </row>
    <row r="16" spans="1:15" x14ac:dyDescent="0.25">
      <c r="A16" t="s">
        <v>223</v>
      </c>
      <c r="B16" s="1">
        <v>9093</v>
      </c>
      <c r="C16" s="1">
        <v>2859</v>
      </c>
      <c r="D16" s="1">
        <f>+B16+C16</f>
        <v>11952</v>
      </c>
    </row>
    <row r="28" spans="5:6" x14ac:dyDescent="0.25">
      <c r="E28" s="1"/>
      <c r="F28" s="1"/>
    </row>
    <row r="29" spans="5:6" x14ac:dyDescent="0.25">
      <c r="E29" s="1"/>
      <c r="F29" s="1"/>
    </row>
    <row r="30" spans="5:6" x14ac:dyDescent="0.25">
      <c r="E30" s="1"/>
      <c r="F30" s="1"/>
    </row>
    <row r="31" spans="5:6" x14ac:dyDescent="0.25">
      <c r="E31" s="1"/>
      <c r="F31" s="1"/>
    </row>
    <row r="32" spans="5:6" x14ac:dyDescent="0.25">
      <c r="E32" s="1"/>
      <c r="F32" s="1"/>
    </row>
    <row r="33" spans="4:6" x14ac:dyDescent="0.25">
      <c r="E33" s="1"/>
      <c r="F33" s="1"/>
    </row>
    <row r="34" spans="4:6" x14ac:dyDescent="0.25">
      <c r="E34" s="1"/>
      <c r="F34" s="1"/>
    </row>
    <row r="35" spans="4:6" x14ac:dyDescent="0.25">
      <c r="D35" s="1"/>
      <c r="E35" s="1"/>
      <c r="F35" s="1"/>
    </row>
    <row r="36" spans="4:6" x14ac:dyDescent="0.25">
      <c r="E36" s="1"/>
      <c r="F36" s="1"/>
    </row>
    <row r="37" spans="4:6" x14ac:dyDescent="0.25">
      <c r="D37" s="1"/>
      <c r="E37" s="1"/>
      <c r="F37" s="1"/>
    </row>
    <row r="38" spans="4:6" x14ac:dyDescent="0.25">
      <c r="E38" s="1"/>
      <c r="F38" s="1"/>
    </row>
    <row r="39" spans="4:6" x14ac:dyDescent="0.25">
      <c r="E39" s="1"/>
      <c r="F39" s="1"/>
    </row>
    <row r="40" spans="4:6" x14ac:dyDescent="0.25">
      <c r="E40" s="1"/>
      <c r="F40" s="1"/>
    </row>
    <row r="41" spans="4:6" x14ac:dyDescent="0.25">
      <c r="E41" s="1"/>
      <c r="F41" s="1"/>
    </row>
    <row r="42" spans="4:6" x14ac:dyDescent="0.25">
      <c r="E42" s="1"/>
      <c r="F42" s="1"/>
    </row>
    <row r="43" spans="4:6" x14ac:dyDescent="0.25">
      <c r="E43" s="1"/>
      <c r="F43" s="1"/>
    </row>
    <row r="44" spans="4:6" x14ac:dyDescent="0.25">
      <c r="E44" s="1"/>
      <c r="F44" s="1"/>
    </row>
    <row r="45" spans="4:6" x14ac:dyDescent="0.25">
      <c r="E45" s="1"/>
      <c r="F45" s="1"/>
    </row>
    <row r="46" spans="4:6" x14ac:dyDescent="0.25">
      <c r="E46" s="1"/>
      <c r="F46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D26" sqref="D26"/>
    </sheetView>
  </sheetViews>
  <sheetFormatPr defaultRowHeight="15" x14ac:dyDescent="0.25"/>
  <cols>
    <col min="2" max="3" width="14" customWidth="1"/>
    <col min="6" max="6" width="10.5703125" bestFit="1" customWidth="1"/>
  </cols>
  <sheetData>
    <row r="1" spans="1:15" x14ac:dyDescent="0.25">
      <c r="A1" s="3"/>
      <c r="B1" t="s">
        <v>4</v>
      </c>
      <c r="E1" s="8"/>
      <c r="F1" s="8"/>
      <c r="I1" t="s">
        <v>4</v>
      </c>
      <c r="O1" s="2"/>
    </row>
    <row r="2" spans="1:15" x14ac:dyDescent="0.25">
      <c r="A2" s="3"/>
      <c r="B2" t="s">
        <v>5</v>
      </c>
      <c r="E2" s="8"/>
      <c r="F2" s="8"/>
      <c r="I2" t="s">
        <v>5</v>
      </c>
      <c r="O2" t="s">
        <v>226</v>
      </c>
    </row>
    <row r="3" spans="1:15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I3" t="s">
        <v>220</v>
      </c>
      <c r="J3" t="s">
        <v>221</v>
      </c>
      <c r="K3" t="s">
        <v>222</v>
      </c>
      <c r="L3" s="8" t="s">
        <v>1</v>
      </c>
      <c r="M3" t="s">
        <v>224</v>
      </c>
      <c r="N3" t="s">
        <v>225</v>
      </c>
      <c r="O3" s="5"/>
    </row>
    <row r="4" spans="1:15" x14ac:dyDescent="0.25">
      <c r="A4" s="3" t="s">
        <v>120</v>
      </c>
      <c r="B4">
        <v>23</v>
      </c>
      <c r="C4" s="1">
        <v>755</v>
      </c>
      <c r="D4" s="1">
        <f>+B4+C4</f>
        <v>778</v>
      </c>
      <c r="E4" s="8">
        <v>33</v>
      </c>
      <c r="F4" s="8">
        <f>(1000/E4)*B4</f>
        <v>696.969696969697</v>
      </c>
      <c r="I4">
        <v>23</v>
      </c>
      <c r="J4" s="1">
        <v>888</v>
      </c>
      <c r="K4" s="1">
        <f t="shared" ref="K4:K5" si="0">+I4+J4</f>
        <v>911</v>
      </c>
      <c r="L4">
        <v>33</v>
      </c>
      <c r="M4">
        <f t="shared" ref="M4:M5" si="1">+(B4-I4)/B4*100</f>
        <v>0</v>
      </c>
      <c r="N4">
        <f t="shared" ref="N4:N5" si="2">+(C4-J4)/C4*100</f>
        <v>-17.6158940397351</v>
      </c>
      <c r="O4">
        <f t="shared" ref="O4:O12" si="3">+(D4-K4)/D4*100</f>
        <v>-17.095115681233931</v>
      </c>
    </row>
    <row r="5" spans="1:15" x14ac:dyDescent="0.25">
      <c r="A5" s="3" t="s">
        <v>113</v>
      </c>
      <c r="B5">
        <v>9</v>
      </c>
      <c r="C5" s="1">
        <v>1391</v>
      </c>
      <c r="D5" s="1">
        <f>+I4+J4</f>
        <v>911</v>
      </c>
      <c r="E5" s="8">
        <v>33</v>
      </c>
      <c r="F5" s="8">
        <f t="shared" ref="F5:F12" si="4">(1000/E5)*B5</f>
        <v>272.72727272727275</v>
      </c>
      <c r="I5">
        <v>22</v>
      </c>
      <c r="J5" s="1">
        <v>2159</v>
      </c>
      <c r="K5" s="1">
        <f t="shared" si="0"/>
        <v>2181</v>
      </c>
      <c r="L5">
        <v>33</v>
      </c>
      <c r="M5">
        <f t="shared" si="1"/>
        <v>-144.44444444444443</v>
      </c>
      <c r="N5">
        <f t="shared" si="2"/>
        <v>-55.21207764198418</v>
      </c>
      <c r="O5">
        <f t="shared" si="3"/>
        <v>-139.4072447859495</v>
      </c>
    </row>
    <row r="6" spans="1:15" x14ac:dyDescent="0.25">
      <c r="A6" s="3" t="s">
        <v>115</v>
      </c>
      <c r="B6">
        <v>16</v>
      </c>
      <c r="C6">
        <v>1757</v>
      </c>
      <c r="D6" s="1">
        <f>+B5+C5</f>
        <v>1400</v>
      </c>
      <c r="E6" s="8">
        <v>33</v>
      </c>
      <c r="F6" s="8">
        <f t="shared" si="4"/>
        <v>484.84848484848487</v>
      </c>
      <c r="I6">
        <v>20</v>
      </c>
      <c r="J6" s="1">
        <v>1735</v>
      </c>
      <c r="K6" s="1">
        <f>+I6+J6</f>
        <v>1755</v>
      </c>
      <c r="L6">
        <v>33</v>
      </c>
      <c r="M6">
        <f>+(B6-I6)/B6*100</f>
        <v>-25</v>
      </c>
      <c r="N6">
        <f>+(C6-J6)/C6*100</f>
        <v>1.2521343198634036</v>
      </c>
      <c r="O6">
        <f t="shared" si="3"/>
        <v>-25.357142857142854</v>
      </c>
    </row>
    <row r="7" spans="1:15" x14ac:dyDescent="0.25">
      <c r="A7" s="3" t="s">
        <v>114</v>
      </c>
      <c r="B7">
        <v>14</v>
      </c>
      <c r="C7">
        <v>1441</v>
      </c>
      <c r="D7" s="1">
        <f>+I5+J5</f>
        <v>2181</v>
      </c>
      <c r="E7" s="14">
        <v>33</v>
      </c>
      <c r="F7" s="8">
        <f t="shared" si="4"/>
        <v>424.24242424242425</v>
      </c>
      <c r="H7" s="11"/>
      <c r="I7" s="11">
        <v>10</v>
      </c>
      <c r="J7" s="1">
        <v>1382</v>
      </c>
      <c r="K7" s="1">
        <f t="shared" ref="K7:K12" si="5">+I7+J7</f>
        <v>1392</v>
      </c>
      <c r="L7" s="11">
        <v>33</v>
      </c>
      <c r="M7">
        <f>+(I5-I7)/I5*100</f>
        <v>54.54545454545454</v>
      </c>
      <c r="N7">
        <f>+(J5-J7)/J5*100</f>
        <v>35.988883742473362</v>
      </c>
      <c r="O7">
        <f t="shared" si="3"/>
        <v>36.176066024759287</v>
      </c>
    </row>
    <row r="8" spans="1:15" x14ac:dyDescent="0.25">
      <c r="A8" s="3" t="s">
        <v>112</v>
      </c>
      <c r="B8">
        <v>138</v>
      </c>
      <c r="C8" s="1">
        <v>11784</v>
      </c>
      <c r="D8" s="1">
        <f t="shared" ref="D8:D12" si="6">+B8+C8</f>
        <v>11922</v>
      </c>
      <c r="E8" s="14">
        <v>33</v>
      </c>
      <c r="F8" s="8">
        <f t="shared" si="4"/>
        <v>4181.818181818182</v>
      </c>
      <c r="H8" s="11"/>
      <c r="I8" s="11">
        <v>17</v>
      </c>
      <c r="J8" s="1">
        <v>2047</v>
      </c>
      <c r="K8" s="1">
        <f t="shared" si="5"/>
        <v>2064</v>
      </c>
      <c r="L8" s="11">
        <v>33</v>
      </c>
      <c r="M8">
        <f t="shared" ref="M8:N12" si="7">+(B8-I8)/B8*100</f>
        <v>87.681159420289859</v>
      </c>
      <c r="N8">
        <f t="shared" si="7"/>
        <v>82.628988458927353</v>
      </c>
      <c r="O8">
        <f t="shared" si="3"/>
        <v>82.687468545546054</v>
      </c>
    </row>
    <row r="9" spans="1:15" x14ac:dyDescent="0.25">
      <c r="A9" s="3" t="s">
        <v>118</v>
      </c>
      <c r="B9">
        <v>12</v>
      </c>
      <c r="C9" s="1">
        <v>1871</v>
      </c>
      <c r="D9" s="1">
        <f t="shared" si="6"/>
        <v>1883</v>
      </c>
      <c r="E9" s="14">
        <v>33</v>
      </c>
      <c r="F9" s="8">
        <f t="shared" si="4"/>
        <v>363.63636363636363</v>
      </c>
      <c r="H9" s="11"/>
      <c r="I9" s="11">
        <v>20</v>
      </c>
      <c r="J9" s="1">
        <v>1672</v>
      </c>
      <c r="K9" s="1">
        <f t="shared" si="5"/>
        <v>1692</v>
      </c>
      <c r="L9" s="11">
        <v>33</v>
      </c>
      <c r="M9">
        <f t="shared" si="7"/>
        <v>-66.666666666666657</v>
      </c>
      <c r="N9">
        <f t="shared" si="7"/>
        <v>10.636023516835918</v>
      </c>
      <c r="O9">
        <f t="shared" si="3"/>
        <v>10.143388210302708</v>
      </c>
    </row>
    <row r="10" spans="1:15" x14ac:dyDescent="0.25">
      <c r="A10" s="3" t="s">
        <v>119</v>
      </c>
      <c r="B10">
        <v>12</v>
      </c>
      <c r="C10" s="1">
        <v>1481</v>
      </c>
      <c r="D10" s="1">
        <f t="shared" si="6"/>
        <v>1493</v>
      </c>
      <c r="E10" s="14">
        <v>33</v>
      </c>
      <c r="F10" s="8">
        <f t="shared" si="4"/>
        <v>363.63636363636363</v>
      </c>
      <c r="H10" s="11"/>
      <c r="I10" s="11">
        <v>16</v>
      </c>
      <c r="J10" s="1">
        <v>1341</v>
      </c>
      <c r="K10" s="1">
        <f t="shared" si="5"/>
        <v>1357</v>
      </c>
      <c r="L10" s="11">
        <v>33</v>
      </c>
      <c r="M10">
        <f t="shared" si="7"/>
        <v>-33.333333333333329</v>
      </c>
      <c r="N10">
        <f t="shared" si="7"/>
        <v>9.4530722484807566</v>
      </c>
      <c r="O10">
        <f t="shared" si="3"/>
        <v>9.1091761553918271</v>
      </c>
    </row>
    <row r="11" spans="1:15" x14ac:dyDescent="0.25">
      <c r="A11" s="3" t="s">
        <v>116</v>
      </c>
      <c r="B11" s="1">
        <v>33</v>
      </c>
      <c r="C11" s="1">
        <v>1702</v>
      </c>
      <c r="D11" s="1">
        <f t="shared" si="6"/>
        <v>1735</v>
      </c>
      <c r="E11" s="14">
        <v>33</v>
      </c>
      <c r="F11" s="8">
        <f t="shared" si="4"/>
        <v>1000</v>
      </c>
      <c r="H11" s="11"/>
      <c r="I11" s="16">
        <v>36</v>
      </c>
      <c r="J11" s="1">
        <v>2971</v>
      </c>
      <c r="K11" s="1">
        <f t="shared" si="5"/>
        <v>3007</v>
      </c>
      <c r="L11" s="11">
        <v>33</v>
      </c>
      <c r="M11">
        <f t="shared" si="7"/>
        <v>-9.0909090909090917</v>
      </c>
      <c r="N11">
        <f t="shared" si="7"/>
        <v>-74.559341950646299</v>
      </c>
      <c r="O11">
        <f t="shared" si="3"/>
        <v>-73.314121037463977</v>
      </c>
    </row>
    <row r="12" spans="1:15" x14ac:dyDescent="0.25">
      <c r="A12" s="3" t="s">
        <v>117</v>
      </c>
      <c r="B12">
        <v>23</v>
      </c>
      <c r="C12" s="1">
        <v>1565</v>
      </c>
      <c r="D12" s="1">
        <f t="shared" si="6"/>
        <v>1588</v>
      </c>
      <c r="E12" s="14">
        <v>33</v>
      </c>
      <c r="F12" s="8">
        <f t="shared" si="4"/>
        <v>696.969696969697</v>
      </c>
      <c r="H12" s="11"/>
      <c r="I12" s="11">
        <v>15</v>
      </c>
      <c r="J12" s="1">
        <v>1938</v>
      </c>
      <c r="K12" s="1">
        <f t="shared" si="5"/>
        <v>1953</v>
      </c>
      <c r="L12" s="11">
        <v>33</v>
      </c>
      <c r="M12">
        <f t="shared" si="7"/>
        <v>34.782608695652172</v>
      </c>
      <c r="N12">
        <f t="shared" si="7"/>
        <v>-23.833865814696487</v>
      </c>
      <c r="O12">
        <f t="shared" si="3"/>
        <v>-22.984886649874056</v>
      </c>
    </row>
    <row r="13" spans="1:15" x14ac:dyDescent="0.25">
      <c r="F13" t="s">
        <v>234</v>
      </c>
      <c r="G13" t="s">
        <v>235</v>
      </c>
    </row>
    <row r="14" spans="1:15" x14ac:dyDescent="0.25">
      <c r="F14" s="8">
        <f>AVERAGE(F4:F12)</f>
        <v>942.76094276094284</v>
      </c>
      <c r="G14">
        <f>_xlfn.STDEV.S(F4:F12)</f>
        <v>1235.6099571166885</v>
      </c>
    </row>
    <row r="16" spans="1:15" x14ac:dyDescent="0.25">
      <c r="A16" t="s">
        <v>223</v>
      </c>
      <c r="B16" s="1">
        <v>20351</v>
      </c>
      <c r="C16" s="1">
        <v>16051</v>
      </c>
      <c r="D16" s="1">
        <f>+B16+C16</f>
        <v>36402</v>
      </c>
    </row>
    <row r="28" spans="5:6" x14ac:dyDescent="0.25">
      <c r="E28" s="1"/>
      <c r="F28" s="1"/>
    </row>
    <row r="29" spans="5:6" x14ac:dyDescent="0.25">
      <c r="E29" s="1"/>
      <c r="F29" s="1"/>
    </row>
    <row r="30" spans="5:6" x14ac:dyDescent="0.25">
      <c r="E30" s="1"/>
      <c r="F30" s="1"/>
    </row>
    <row r="31" spans="5:6" x14ac:dyDescent="0.25">
      <c r="E31" s="1"/>
      <c r="F31" s="1"/>
    </row>
    <row r="32" spans="5:6" x14ac:dyDescent="0.25">
      <c r="E32" s="1"/>
      <c r="F32" s="1"/>
    </row>
    <row r="33" spans="4:6" x14ac:dyDescent="0.25">
      <c r="E33" s="1"/>
      <c r="F33" s="1"/>
    </row>
    <row r="34" spans="4:6" x14ac:dyDescent="0.25">
      <c r="E34" s="1"/>
      <c r="F34" s="1"/>
    </row>
    <row r="35" spans="4:6" x14ac:dyDescent="0.25">
      <c r="D35" s="1"/>
      <c r="E35" s="1"/>
      <c r="F35" s="1"/>
    </row>
    <row r="36" spans="4:6" x14ac:dyDescent="0.25">
      <c r="E36" s="1"/>
      <c r="F36" s="1"/>
    </row>
    <row r="37" spans="4:6" x14ac:dyDescent="0.25">
      <c r="D37" s="1"/>
      <c r="E37" s="1"/>
      <c r="F37" s="1"/>
    </row>
    <row r="38" spans="4:6" x14ac:dyDescent="0.25">
      <c r="E38" s="1"/>
      <c r="F38" s="1"/>
    </row>
    <row r="39" spans="4:6" x14ac:dyDescent="0.25">
      <c r="E39" s="1"/>
      <c r="F39" s="1"/>
    </row>
    <row r="40" spans="4:6" x14ac:dyDescent="0.25">
      <c r="E40" s="1"/>
      <c r="F40" s="1"/>
    </row>
    <row r="41" spans="4:6" x14ac:dyDescent="0.25">
      <c r="E41" s="1"/>
      <c r="F41" s="1"/>
    </row>
    <row r="42" spans="4:6" x14ac:dyDescent="0.25">
      <c r="E42" s="1"/>
      <c r="F42" s="1"/>
    </row>
    <row r="43" spans="4:6" x14ac:dyDescent="0.25">
      <c r="E43" s="1"/>
      <c r="F43" s="1"/>
    </row>
    <row r="44" spans="4:6" x14ac:dyDescent="0.25">
      <c r="E44" s="1"/>
      <c r="F44" s="1"/>
    </row>
    <row r="45" spans="4:6" x14ac:dyDescent="0.25">
      <c r="E45" s="1"/>
      <c r="F45" s="1"/>
    </row>
    <row r="46" spans="4:6" x14ac:dyDescent="0.25">
      <c r="E46" s="1"/>
      <c r="F46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D24" sqref="D24"/>
    </sheetView>
  </sheetViews>
  <sheetFormatPr defaultRowHeight="15" x14ac:dyDescent="0.25"/>
  <cols>
    <col min="2" max="3" width="14" customWidth="1"/>
    <col min="6" max="6" width="10.5703125" bestFit="1" customWidth="1"/>
  </cols>
  <sheetData>
    <row r="1" spans="1:15" x14ac:dyDescent="0.25">
      <c r="A1" s="3"/>
      <c r="B1" t="s">
        <v>4</v>
      </c>
      <c r="E1" s="8"/>
      <c r="F1" s="8"/>
      <c r="I1" t="s">
        <v>4</v>
      </c>
      <c r="O1" s="2"/>
    </row>
    <row r="2" spans="1:15" x14ac:dyDescent="0.25">
      <c r="A2" s="3"/>
      <c r="B2" t="s">
        <v>5</v>
      </c>
      <c r="E2" s="8"/>
      <c r="F2" s="8"/>
      <c r="I2" t="s">
        <v>5</v>
      </c>
      <c r="O2" t="s">
        <v>226</v>
      </c>
    </row>
    <row r="3" spans="1:15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I3" t="s">
        <v>220</v>
      </c>
      <c r="J3" t="s">
        <v>221</v>
      </c>
      <c r="K3" t="s">
        <v>222</v>
      </c>
      <c r="L3" s="8" t="s">
        <v>1</v>
      </c>
      <c r="M3" t="s">
        <v>224</v>
      </c>
      <c r="N3" t="s">
        <v>225</v>
      </c>
      <c r="O3" s="5"/>
    </row>
    <row r="4" spans="1:15" x14ac:dyDescent="0.25">
      <c r="A4" s="3" t="s">
        <v>120</v>
      </c>
      <c r="B4">
        <v>30</v>
      </c>
      <c r="C4" s="1">
        <v>601</v>
      </c>
      <c r="D4" s="1">
        <f>+B4+C4</f>
        <v>631</v>
      </c>
      <c r="E4" s="8">
        <v>33</v>
      </c>
      <c r="F4" s="8">
        <f>(1000/E4)*B4</f>
        <v>909.09090909090912</v>
      </c>
      <c r="I4">
        <v>12</v>
      </c>
      <c r="J4" s="1">
        <v>628</v>
      </c>
      <c r="K4" s="1">
        <f t="shared" ref="K4:K5" si="0">+I4+J4</f>
        <v>640</v>
      </c>
      <c r="L4">
        <v>33</v>
      </c>
      <c r="M4">
        <f>+(B4-I4)/B4*100</f>
        <v>60</v>
      </c>
      <c r="N4">
        <f>+(C4-J4)/C4*100</f>
        <v>-4.4925124792013316</v>
      </c>
      <c r="O4">
        <f t="shared" ref="O4:O12" si="1">+(D4-K4)/D4*100</f>
        <v>-1.4263074484944533</v>
      </c>
    </row>
    <row r="5" spans="1:15" x14ac:dyDescent="0.25">
      <c r="A5" s="3" t="s">
        <v>113</v>
      </c>
      <c r="B5">
        <v>13</v>
      </c>
      <c r="C5" s="1">
        <v>1644</v>
      </c>
      <c r="D5" s="1">
        <f>+I4+J4</f>
        <v>640</v>
      </c>
      <c r="E5" s="8">
        <v>33</v>
      </c>
      <c r="F5" s="8">
        <f t="shared" ref="F5:F12" si="2">(1000/E5)*B5</f>
        <v>393.93939393939394</v>
      </c>
      <c r="I5">
        <v>20</v>
      </c>
      <c r="J5" s="1">
        <v>2526</v>
      </c>
      <c r="K5" s="1">
        <f t="shared" si="0"/>
        <v>2546</v>
      </c>
      <c r="L5">
        <v>33</v>
      </c>
      <c r="M5">
        <f t="shared" ref="M5:M12" si="3">+(B5-I5)/B5*100</f>
        <v>-53.846153846153847</v>
      </c>
      <c r="N5">
        <f t="shared" ref="N5:N12" si="4">+(C5-J5)/C5*100</f>
        <v>-53.649635036496349</v>
      </c>
      <c r="O5">
        <f t="shared" si="1"/>
        <v>-297.8125</v>
      </c>
    </row>
    <row r="6" spans="1:15" x14ac:dyDescent="0.25">
      <c r="A6" s="3" t="s">
        <v>115</v>
      </c>
      <c r="B6">
        <v>14</v>
      </c>
      <c r="C6">
        <v>3106</v>
      </c>
      <c r="D6" s="1">
        <f>+B5+C5</f>
        <v>1657</v>
      </c>
      <c r="E6" s="8">
        <v>33</v>
      </c>
      <c r="F6" s="8">
        <f t="shared" si="2"/>
        <v>424.24242424242425</v>
      </c>
      <c r="I6">
        <v>18</v>
      </c>
      <c r="J6" s="1">
        <v>1554</v>
      </c>
      <c r="K6" s="1">
        <f>+I6+J6</f>
        <v>1572</v>
      </c>
      <c r="L6">
        <v>33</v>
      </c>
      <c r="M6">
        <f t="shared" si="3"/>
        <v>-28.571428571428569</v>
      </c>
      <c r="N6">
        <f t="shared" si="4"/>
        <v>49.96780424983902</v>
      </c>
      <c r="O6">
        <f t="shared" si="1"/>
        <v>5.1297525648762825</v>
      </c>
    </row>
    <row r="7" spans="1:15" x14ac:dyDescent="0.25">
      <c r="A7" s="3" t="s">
        <v>114</v>
      </c>
      <c r="B7">
        <v>10</v>
      </c>
      <c r="C7">
        <v>1142</v>
      </c>
      <c r="D7" s="1">
        <f>+I5+J5</f>
        <v>2546</v>
      </c>
      <c r="E7" s="14">
        <v>33</v>
      </c>
      <c r="F7" s="8">
        <f t="shared" si="2"/>
        <v>303.03030303030306</v>
      </c>
      <c r="H7" s="11"/>
      <c r="I7" s="11">
        <v>18</v>
      </c>
      <c r="J7" s="1">
        <v>2374</v>
      </c>
      <c r="K7" s="1">
        <f t="shared" ref="K7:K12" si="5">+I7+J7</f>
        <v>2392</v>
      </c>
      <c r="L7" s="11">
        <v>33</v>
      </c>
      <c r="M7">
        <f t="shared" si="3"/>
        <v>-80</v>
      </c>
      <c r="N7">
        <f t="shared" si="4"/>
        <v>-107.88091068301226</v>
      </c>
      <c r="O7">
        <f t="shared" si="1"/>
        <v>6.0487038491751761</v>
      </c>
    </row>
    <row r="8" spans="1:15" x14ac:dyDescent="0.25">
      <c r="A8" s="3" t="s">
        <v>112</v>
      </c>
      <c r="B8">
        <v>13</v>
      </c>
      <c r="C8" s="1">
        <v>1503</v>
      </c>
      <c r="D8" s="1">
        <f t="shared" ref="D8:D12" si="6">+B8+C8</f>
        <v>1516</v>
      </c>
      <c r="E8" s="14">
        <v>33</v>
      </c>
      <c r="F8" s="8">
        <f t="shared" si="2"/>
        <v>393.93939393939394</v>
      </c>
      <c r="H8" s="11"/>
      <c r="I8" s="11">
        <v>5</v>
      </c>
      <c r="J8" s="1">
        <v>1198</v>
      </c>
      <c r="K8" s="1">
        <f t="shared" si="5"/>
        <v>1203</v>
      </c>
      <c r="L8" s="11">
        <v>33</v>
      </c>
      <c r="M8">
        <f t="shared" si="3"/>
        <v>61.53846153846154</v>
      </c>
      <c r="N8">
        <f t="shared" si="4"/>
        <v>20.292747837658016</v>
      </c>
      <c r="O8">
        <f t="shared" si="1"/>
        <v>20.646437994722955</v>
      </c>
    </row>
    <row r="9" spans="1:15" x14ac:dyDescent="0.25">
      <c r="A9" s="3" t="s">
        <v>118</v>
      </c>
      <c r="B9">
        <v>10</v>
      </c>
      <c r="C9" s="1">
        <v>907</v>
      </c>
      <c r="D9" s="1">
        <f t="shared" si="6"/>
        <v>917</v>
      </c>
      <c r="E9" s="14">
        <v>33</v>
      </c>
      <c r="F9" s="8">
        <f t="shared" si="2"/>
        <v>303.03030303030306</v>
      </c>
      <c r="H9" s="11"/>
      <c r="I9" s="11">
        <v>17</v>
      </c>
      <c r="J9" s="1">
        <v>737</v>
      </c>
      <c r="K9" s="1">
        <f t="shared" si="5"/>
        <v>754</v>
      </c>
      <c r="L9" s="11">
        <v>33</v>
      </c>
      <c r="M9">
        <f t="shared" si="3"/>
        <v>-70</v>
      </c>
      <c r="N9">
        <f t="shared" si="4"/>
        <v>18.74310915104741</v>
      </c>
      <c r="O9">
        <f t="shared" si="1"/>
        <v>17.775354416575791</v>
      </c>
    </row>
    <row r="10" spans="1:15" x14ac:dyDescent="0.25">
      <c r="A10" s="3" t="s">
        <v>119</v>
      </c>
      <c r="B10">
        <v>16</v>
      </c>
      <c r="C10" s="1">
        <v>864</v>
      </c>
      <c r="D10" s="1">
        <f t="shared" si="6"/>
        <v>880</v>
      </c>
      <c r="E10" s="14">
        <v>33</v>
      </c>
      <c r="F10" s="8">
        <f t="shared" si="2"/>
        <v>484.84848484848487</v>
      </c>
      <c r="H10" s="11"/>
      <c r="I10" s="11">
        <v>17</v>
      </c>
      <c r="J10" s="1">
        <v>1231</v>
      </c>
      <c r="K10" s="1">
        <f t="shared" si="5"/>
        <v>1248</v>
      </c>
      <c r="L10" s="11">
        <v>33</v>
      </c>
      <c r="M10">
        <f t="shared" si="3"/>
        <v>-6.25</v>
      </c>
      <c r="N10">
        <f t="shared" si="4"/>
        <v>-42.476851851851855</v>
      </c>
      <c r="O10">
        <f t="shared" si="1"/>
        <v>-41.818181818181813</v>
      </c>
    </row>
    <row r="11" spans="1:15" x14ac:dyDescent="0.25">
      <c r="A11" s="3" t="s">
        <v>116</v>
      </c>
      <c r="B11" s="1">
        <v>24</v>
      </c>
      <c r="C11" s="1">
        <v>1140</v>
      </c>
      <c r="D11" s="1">
        <f t="shared" si="6"/>
        <v>1164</v>
      </c>
      <c r="E11" s="14">
        <v>33</v>
      </c>
      <c r="F11" s="8">
        <f t="shared" si="2"/>
        <v>727.27272727272725</v>
      </c>
      <c r="H11" s="11"/>
      <c r="I11" s="16">
        <v>9</v>
      </c>
      <c r="J11" s="1">
        <v>1396</v>
      </c>
      <c r="K11" s="1">
        <f t="shared" si="5"/>
        <v>1405</v>
      </c>
      <c r="L11" s="11">
        <v>33</v>
      </c>
      <c r="M11">
        <f t="shared" si="3"/>
        <v>62.5</v>
      </c>
      <c r="N11">
        <f t="shared" si="4"/>
        <v>-22.456140350877192</v>
      </c>
      <c r="O11">
        <f t="shared" si="1"/>
        <v>-20.704467353951891</v>
      </c>
    </row>
    <row r="12" spans="1:15" x14ac:dyDescent="0.25">
      <c r="A12" s="3" t="s">
        <v>117</v>
      </c>
      <c r="B12">
        <v>12</v>
      </c>
      <c r="C12" s="1">
        <v>1575</v>
      </c>
      <c r="D12" s="1">
        <f t="shared" si="6"/>
        <v>1587</v>
      </c>
      <c r="E12" s="14">
        <v>33</v>
      </c>
      <c r="F12" s="8">
        <f t="shared" si="2"/>
        <v>363.63636363636363</v>
      </c>
      <c r="H12" s="11"/>
      <c r="I12" s="11">
        <v>20</v>
      </c>
      <c r="J12" s="1">
        <v>1672</v>
      </c>
      <c r="K12" s="1">
        <f t="shared" si="5"/>
        <v>1692</v>
      </c>
      <c r="L12" s="11">
        <v>33</v>
      </c>
      <c r="M12">
        <f t="shared" si="3"/>
        <v>-66.666666666666657</v>
      </c>
      <c r="N12">
        <f t="shared" si="4"/>
        <v>-6.1587301587301591</v>
      </c>
      <c r="O12">
        <f t="shared" si="1"/>
        <v>-6.6162570888468801</v>
      </c>
    </row>
    <row r="13" spans="1:15" x14ac:dyDescent="0.25">
      <c r="F13" t="s">
        <v>234</v>
      </c>
      <c r="G13" t="s">
        <v>235</v>
      </c>
    </row>
    <row r="14" spans="1:15" x14ac:dyDescent="0.25">
      <c r="F14" s="8">
        <f>AVERAGE(F4:F12)</f>
        <v>478.11447811447812</v>
      </c>
      <c r="G14">
        <f>_xlfn.STDEV.S(F4:F12)</f>
        <v>205.95907579902706</v>
      </c>
    </row>
    <row r="16" spans="1:15" x14ac:dyDescent="0.25">
      <c r="A16" t="s">
        <v>223</v>
      </c>
      <c r="B16" s="1">
        <v>20314</v>
      </c>
      <c r="C16" s="1">
        <v>25872</v>
      </c>
      <c r="D16" s="1">
        <f>+B16+C16</f>
        <v>46186</v>
      </c>
    </row>
    <row r="28" spans="5:6" x14ac:dyDescent="0.25">
      <c r="E28" s="1"/>
      <c r="F28" s="1"/>
    </row>
    <row r="29" spans="5:6" x14ac:dyDescent="0.25">
      <c r="E29" s="1"/>
      <c r="F29" s="1"/>
    </row>
    <row r="30" spans="5:6" x14ac:dyDescent="0.25">
      <c r="E30" s="1"/>
      <c r="F30" s="1"/>
    </row>
    <row r="31" spans="5:6" x14ac:dyDescent="0.25">
      <c r="E31" s="1"/>
      <c r="F31" s="1"/>
    </row>
    <row r="32" spans="5:6" x14ac:dyDescent="0.25">
      <c r="E32" s="1"/>
      <c r="F32" s="1"/>
    </row>
    <row r="33" spans="4:6" x14ac:dyDescent="0.25">
      <c r="E33" s="1"/>
      <c r="F33" s="1"/>
    </row>
    <row r="34" spans="4:6" x14ac:dyDescent="0.25">
      <c r="E34" s="1"/>
      <c r="F34" s="1"/>
    </row>
    <row r="35" spans="4:6" x14ac:dyDescent="0.25">
      <c r="D35" s="1"/>
      <c r="E35" s="1"/>
      <c r="F35" s="1"/>
    </row>
    <row r="36" spans="4:6" x14ac:dyDescent="0.25">
      <c r="E36" s="1"/>
      <c r="F36" s="1"/>
    </row>
    <row r="37" spans="4:6" x14ac:dyDescent="0.25">
      <c r="D37" s="1"/>
      <c r="E37" s="1"/>
      <c r="F37" s="1"/>
    </row>
    <row r="38" spans="4:6" x14ac:dyDescent="0.25">
      <c r="E38" s="1"/>
      <c r="F38" s="1"/>
    </row>
    <row r="39" spans="4:6" x14ac:dyDescent="0.25">
      <c r="E39" s="1"/>
      <c r="F39" s="1"/>
    </row>
    <row r="40" spans="4:6" x14ac:dyDescent="0.25">
      <c r="E40" s="1"/>
      <c r="F40" s="1"/>
    </row>
    <row r="41" spans="4:6" x14ac:dyDescent="0.25">
      <c r="E41" s="1"/>
      <c r="F41" s="1"/>
    </row>
    <row r="42" spans="4:6" x14ac:dyDescent="0.25">
      <c r="E42" s="1"/>
      <c r="F42" s="1"/>
    </row>
    <row r="43" spans="4:6" x14ac:dyDescent="0.25">
      <c r="E43" s="1"/>
      <c r="F43" s="1"/>
    </row>
    <row r="44" spans="4:6" x14ac:dyDescent="0.25">
      <c r="E44" s="1"/>
      <c r="F44" s="1"/>
    </row>
    <row r="45" spans="4:6" x14ac:dyDescent="0.25">
      <c r="E45" s="1"/>
      <c r="F45" s="1"/>
    </row>
    <row r="46" spans="4:6" x14ac:dyDescent="0.25">
      <c r="E46" s="1"/>
      <c r="F46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D25" sqref="D25"/>
    </sheetView>
  </sheetViews>
  <sheetFormatPr defaultRowHeight="15" x14ac:dyDescent="0.25"/>
  <cols>
    <col min="1" max="1" width="10.7109375" bestFit="1" customWidth="1"/>
    <col min="2" max="3" width="14" customWidth="1"/>
    <col min="6" max="6" width="10.5703125" bestFit="1" customWidth="1"/>
  </cols>
  <sheetData>
    <row r="1" spans="1:17" x14ac:dyDescent="0.25">
      <c r="A1" s="3"/>
      <c r="B1" t="s">
        <v>4</v>
      </c>
      <c r="E1" s="8"/>
      <c r="F1" s="8"/>
      <c r="I1" t="s">
        <v>4</v>
      </c>
      <c r="O1" s="2"/>
    </row>
    <row r="2" spans="1:17" x14ac:dyDescent="0.25">
      <c r="A2" s="3"/>
      <c r="B2" t="s">
        <v>5</v>
      </c>
      <c r="E2" s="8"/>
      <c r="F2" s="8"/>
      <c r="I2" t="s">
        <v>5</v>
      </c>
      <c r="O2" t="s">
        <v>226</v>
      </c>
    </row>
    <row r="3" spans="1:17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I3" t="s">
        <v>220</v>
      </c>
      <c r="J3" t="s">
        <v>221</v>
      </c>
      <c r="K3" t="s">
        <v>222</v>
      </c>
      <c r="L3" s="8" t="s">
        <v>1</v>
      </c>
      <c r="M3" t="s">
        <v>224</v>
      </c>
      <c r="N3" t="s">
        <v>225</v>
      </c>
      <c r="O3" s="5"/>
      <c r="P3" s="8" t="s">
        <v>233</v>
      </c>
    </row>
    <row r="4" spans="1:17" x14ac:dyDescent="0.25">
      <c r="A4" s="3" t="s">
        <v>120</v>
      </c>
      <c r="B4">
        <v>40</v>
      </c>
      <c r="C4" s="1">
        <v>1874</v>
      </c>
      <c r="D4" s="1">
        <f>+B4+C4</f>
        <v>1914</v>
      </c>
      <c r="E4" s="8">
        <v>33</v>
      </c>
      <c r="F4" s="8">
        <f>(1000/E4)*B4</f>
        <v>1212.1212121212122</v>
      </c>
      <c r="I4">
        <v>33</v>
      </c>
      <c r="J4" s="1">
        <v>1198</v>
      </c>
      <c r="K4" s="1">
        <f t="shared" ref="K4:K5" si="0">+I4+J4</f>
        <v>1231</v>
      </c>
      <c r="L4">
        <v>33</v>
      </c>
      <c r="M4">
        <f t="shared" ref="M4:O5" si="1">+(B4-I4)/B4*100</f>
        <v>17.5</v>
      </c>
      <c r="N4">
        <f t="shared" si="1"/>
        <v>36.072572038420489</v>
      </c>
      <c r="O4">
        <f t="shared" si="1"/>
        <v>35.684430512016718</v>
      </c>
      <c r="P4" s="8">
        <f>(1000/L4)*I4</f>
        <v>1000</v>
      </c>
    </row>
    <row r="5" spans="1:17" x14ac:dyDescent="0.25">
      <c r="A5" s="3" t="s">
        <v>113</v>
      </c>
      <c r="B5">
        <v>5</v>
      </c>
      <c r="C5" s="1">
        <v>1555</v>
      </c>
      <c r="D5" s="1">
        <f>+I4+J4</f>
        <v>1231</v>
      </c>
      <c r="E5" s="8">
        <v>33</v>
      </c>
      <c r="F5" s="8">
        <f t="shared" ref="F5:F12" si="2">(1000/E5)*B5</f>
        <v>151.51515151515153</v>
      </c>
      <c r="I5">
        <v>28</v>
      </c>
      <c r="J5" s="1">
        <v>4815</v>
      </c>
      <c r="K5" s="1">
        <f t="shared" si="0"/>
        <v>4843</v>
      </c>
      <c r="L5">
        <v>33</v>
      </c>
      <c r="M5">
        <f t="shared" si="1"/>
        <v>-459.99999999999994</v>
      </c>
      <c r="N5">
        <f t="shared" si="1"/>
        <v>-209.64630225080384</v>
      </c>
      <c r="O5">
        <f t="shared" si="1"/>
        <v>-293.41998375304632</v>
      </c>
      <c r="P5" s="8">
        <f t="shared" ref="P5:P12" si="3">(1000/L5)*I5</f>
        <v>848.4848484848485</v>
      </c>
    </row>
    <row r="6" spans="1:17" x14ac:dyDescent="0.25">
      <c r="A6" s="3" t="s">
        <v>115</v>
      </c>
      <c r="B6">
        <v>19</v>
      </c>
      <c r="C6">
        <v>3423</v>
      </c>
      <c r="D6" s="1">
        <f>+B5+C5</f>
        <v>1560</v>
      </c>
      <c r="E6" s="8">
        <v>33</v>
      </c>
      <c r="F6" s="8">
        <f t="shared" si="2"/>
        <v>575.75757575757575</v>
      </c>
      <c r="I6">
        <v>66</v>
      </c>
      <c r="J6" s="1">
        <v>8158</v>
      </c>
      <c r="K6" s="1">
        <f>+I6+J6</f>
        <v>8224</v>
      </c>
      <c r="L6">
        <v>33</v>
      </c>
      <c r="M6">
        <f>+(B5-I6)/B5*100</f>
        <v>-1220</v>
      </c>
      <c r="N6">
        <f>+(C5-J6)/C5*100</f>
        <v>-424.63022508038586</v>
      </c>
      <c r="O6">
        <f t="shared" ref="O6:O12" si="4">+(D6-K6)/D6*100</f>
        <v>-427.17948717948718</v>
      </c>
      <c r="P6" s="8">
        <f t="shared" si="3"/>
        <v>2000</v>
      </c>
    </row>
    <row r="7" spans="1:17" x14ac:dyDescent="0.25">
      <c r="A7" s="3" t="s">
        <v>114</v>
      </c>
      <c r="B7">
        <v>27</v>
      </c>
      <c r="C7">
        <v>5940</v>
      </c>
      <c r="D7" s="1">
        <f>+I5+J5</f>
        <v>4843</v>
      </c>
      <c r="E7" s="14">
        <v>33</v>
      </c>
      <c r="F7" s="8">
        <f t="shared" si="2"/>
        <v>818.18181818181824</v>
      </c>
      <c r="H7" s="11"/>
      <c r="I7" s="11">
        <v>24</v>
      </c>
      <c r="J7" s="1">
        <v>4358</v>
      </c>
      <c r="K7" s="1">
        <f t="shared" ref="K7:K12" si="5">+I7+J7</f>
        <v>4382</v>
      </c>
      <c r="L7" s="11">
        <v>33</v>
      </c>
      <c r="M7">
        <f>+(I5-I7)/I5*100</f>
        <v>14.285714285714285</v>
      </c>
      <c r="N7">
        <f>+(J5-J7)/J5*100</f>
        <v>9.4911734164070616</v>
      </c>
      <c r="O7">
        <f t="shared" si="4"/>
        <v>9.5188932479867852</v>
      </c>
      <c r="P7" s="8">
        <f t="shared" si="3"/>
        <v>727.27272727272725</v>
      </c>
    </row>
    <row r="8" spans="1:17" x14ac:dyDescent="0.25">
      <c r="A8" s="3" t="s">
        <v>112</v>
      </c>
      <c r="B8">
        <v>12</v>
      </c>
      <c r="C8" s="1">
        <v>2010</v>
      </c>
      <c r="D8" s="1">
        <f t="shared" ref="D8:D12" si="6">+B8+C8</f>
        <v>2022</v>
      </c>
      <c r="E8" s="14">
        <v>33</v>
      </c>
      <c r="F8" s="8">
        <f t="shared" si="2"/>
        <v>363.63636363636363</v>
      </c>
      <c r="H8" s="11"/>
      <c r="I8" s="11">
        <v>31</v>
      </c>
      <c r="J8" s="1">
        <v>9025</v>
      </c>
      <c r="K8" s="1">
        <f t="shared" si="5"/>
        <v>9056</v>
      </c>
      <c r="L8" s="11">
        <v>33</v>
      </c>
      <c r="M8">
        <f t="shared" ref="M8:N12" si="7">+(B8-I8)/B8*100</f>
        <v>-158.33333333333331</v>
      </c>
      <c r="N8">
        <f t="shared" si="7"/>
        <v>-349.00497512437812</v>
      </c>
      <c r="O8">
        <f t="shared" si="4"/>
        <v>-347.87339268051431</v>
      </c>
      <c r="P8" s="8">
        <f t="shared" si="3"/>
        <v>939.39393939393949</v>
      </c>
    </row>
    <row r="9" spans="1:17" x14ac:dyDescent="0.25">
      <c r="A9" s="3" t="s">
        <v>118</v>
      </c>
      <c r="B9">
        <v>55</v>
      </c>
      <c r="C9" s="1">
        <v>6059</v>
      </c>
      <c r="D9" s="1">
        <f t="shared" si="6"/>
        <v>6114</v>
      </c>
      <c r="E9" s="14">
        <v>33</v>
      </c>
      <c r="F9" s="8">
        <f t="shared" si="2"/>
        <v>1666.6666666666667</v>
      </c>
      <c r="H9" s="11"/>
      <c r="I9" s="11">
        <v>31</v>
      </c>
      <c r="J9" s="1">
        <v>7510</v>
      </c>
      <c r="K9" s="1">
        <f t="shared" si="5"/>
        <v>7541</v>
      </c>
      <c r="L9" s="11">
        <v>33</v>
      </c>
      <c r="M9">
        <f t="shared" si="7"/>
        <v>43.636363636363633</v>
      </c>
      <c r="N9">
        <f t="shared" si="7"/>
        <v>-23.947846179237498</v>
      </c>
      <c r="O9">
        <f t="shared" si="4"/>
        <v>-23.33987569512594</v>
      </c>
      <c r="P9" s="8">
        <f t="shared" si="3"/>
        <v>939.39393939393949</v>
      </c>
    </row>
    <row r="10" spans="1:17" x14ac:dyDescent="0.25">
      <c r="A10" s="3" t="s">
        <v>119</v>
      </c>
      <c r="B10">
        <v>22</v>
      </c>
      <c r="C10" s="1">
        <v>3272</v>
      </c>
      <c r="D10" s="1">
        <f t="shared" si="6"/>
        <v>3294</v>
      </c>
      <c r="E10" s="14">
        <v>33</v>
      </c>
      <c r="F10" s="8">
        <f t="shared" si="2"/>
        <v>666.66666666666674</v>
      </c>
      <c r="H10" s="11"/>
      <c r="I10" s="11">
        <v>18</v>
      </c>
      <c r="J10" s="1">
        <v>2235</v>
      </c>
      <c r="K10" s="1">
        <f t="shared" si="5"/>
        <v>2253</v>
      </c>
      <c r="L10" s="11">
        <v>33</v>
      </c>
      <c r="M10">
        <f t="shared" si="7"/>
        <v>18.181818181818183</v>
      </c>
      <c r="N10">
        <f t="shared" si="7"/>
        <v>31.693154034229831</v>
      </c>
      <c r="O10">
        <f t="shared" si="4"/>
        <v>31.602914389799636</v>
      </c>
      <c r="P10" s="8">
        <f t="shared" si="3"/>
        <v>545.4545454545455</v>
      </c>
    </row>
    <row r="11" spans="1:17" x14ac:dyDescent="0.25">
      <c r="A11" s="3" t="s">
        <v>116</v>
      </c>
      <c r="B11" s="1">
        <v>28</v>
      </c>
      <c r="C11" s="1">
        <v>4612</v>
      </c>
      <c r="D11" s="1">
        <f t="shared" si="6"/>
        <v>4640</v>
      </c>
      <c r="E11" s="14">
        <v>33</v>
      </c>
      <c r="F11" s="8">
        <f t="shared" si="2"/>
        <v>848.4848484848485</v>
      </c>
      <c r="H11" s="11"/>
      <c r="I11" s="16">
        <v>14</v>
      </c>
      <c r="J11" s="1">
        <v>2816</v>
      </c>
      <c r="K11" s="1">
        <f t="shared" si="5"/>
        <v>2830</v>
      </c>
      <c r="L11" s="11">
        <v>33</v>
      </c>
      <c r="M11">
        <f t="shared" si="7"/>
        <v>50</v>
      </c>
      <c r="N11">
        <f t="shared" si="7"/>
        <v>38.941890719861235</v>
      </c>
      <c r="O11">
        <f t="shared" si="4"/>
        <v>39.008620689655174</v>
      </c>
      <c r="P11" s="8">
        <f t="shared" si="3"/>
        <v>424.24242424242425</v>
      </c>
    </row>
    <row r="12" spans="1:17" x14ac:dyDescent="0.25">
      <c r="A12" s="3" t="s">
        <v>117</v>
      </c>
      <c r="B12">
        <v>46</v>
      </c>
      <c r="C12" s="1">
        <v>4764</v>
      </c>
      <c r="D12" s="1">
        <f t="shared" si="6"/>
        <v>4810</v>
      </c>
      <c r="E12" s="14">
        <v>33</v>
      </c>
      <c r="F12" s="8">
        <f t="shared" si="2"/>
        <v>1393.939393939394</v>
      </c>
      <c r="H12" s="11"/>
      <c r="I12" s="11">
        <v>46</v>
      </c>
      <c r="J12" s="1">
        <v>2352</v>
      </c>
      <c r="K12" s="1">
        <f t="shared" si="5"/>
        <v>2398</v>
      </c>
      <c r="L12" s="11">
        <v>33</v>
      </c>
      <c r="M12">
        <f t="shared" si="7"/>
        <v>0</v>
      </c>
      <c r="N12">
        <f t="shared" si="7"/>
        <v>50.629722921914357</v>
      </c>
      <c r="O12">
        <f t="shared" si="4"/>
        <v>50.145530145530145</v>
      </c>
      <c r="P12" s="8">
        <f t="shared" si="3"/>
        <v>1393.939393939394</v>
      </c>
    </row>
    <row r="13" spans="1:17" x14ac:dyDescent="0.25">
      <c r="F13" t="s">
        <v>234</v>
      </c>
      <c r="G13" t="s">
        <v>235</v>
      </c>
      <c r="P13" t="s">
        <v>234</v>
      </c>
      <c r="Q13" t="s">
        <v>235</v>
      </c>
    </row>
    <row r="14" spans="1:17" x14ac:dyDescent="0.25">
      <c r="F14" s="8">
        <f>AVERAGE(F4:F12)</f>
        <v>855.21885521885531</v>
      </c>
      <c r="G14">
        <f>_xlfn.STDEV.S(F4:F12)</f>
        <v>490.91324768577232</v>
      </c>
      <c r="P14" s="8">
        <f>AVERAGE(P4:P12)</f>
        <v>979.79797979798002</v>
      </c>
      <c r="Q14">
        <f>_xlfn.STDEV.S(P4:P12)</f>
        <v>473.59089721478091</v>
      </c>
    </row>
    <row r="16" spans="1:17" x14ac:dyDescent="0.25">
      <c r="A16" t="s">
        <v>223</v>
      </c>
      <c r="B16" s="1">
        <v>31057</v>
      </c>
      <c r="C16" s="1">
        <v>44707</v>
      </c>
      <c r="D16" s="1">
        <f>+B16+C16</f>
        <v>75764</v>
      </c>
      <c r="E16">
        <f>+B16/33*1000</f>
        <v>941121.21212121216</v>
      </c>
    </row>
    <row r="19" spans="1:6" x14ac:dyDescent="0.25">
      <c r="A19" s="2">
        <v>44515</v>
      </c>
      <c r="B19" t="s">
        <v>228</v>
      </c>
      <c r="D19" t="s">
        <v>229</v>
      </c>
    </row>
    <row r="20" spans="1:6" x14ac:dyDescent="0.25">
      <c r="A20" t="s">
        <v>227</v>
      </c>
      <c r="B20">
        <v>7675</v>
      </c>
      <c r="C20">
        <v>3</v>
      </c>
      <c r="D20">
        <v>7985</v>
      </c>
      <c r="E20">
        <v>8</v>
      </c>
    </row>
    <row r="21" spans="1:6" x14ac:dyDescent="0.25">
      <c r="A21" t="s">
        <v>230</v>
      </c>
      <c r="B21">
        <v>7245</v>
      </c>
      <c r="C21">
        <v>10</v>
      </c>
      <c r="D21">
        <v>24277</v>
      </c>
      <c r="E21">
        <v>50</v>
      </c>
    </row>
    <row r="28" spans="1:6" x14ac:dyDescent="0.25">
      <c r="E28" s="1"/>
      <c r="F28" s="1"/>
    </row>
    <row r="29" spans="1:6" x14ac:dyDescent="0.25">
      <c r="E29" s="1"/>
      <c r="F29" s="1"/>
    </row>
    <row r="30" spans="1:6" x14ac:dyDescent="0.25">
      <c r="E30" s="1"/>
      <c r="F30" s="1"/>
    </row>
    <row r="31" spans="1:6" x14ac:dyDescent="0.25">
      <c r="E31" s="1"/>
      <c r="F31" s="1"/>
    </row>
    <row r="32" spans="1:6" x14ac:dyDescent="0.25">
      <c r="E32" s="1"/>
      <c r="F32" s="1"/>
    </row>
    <row r="33" spans="4:6" x14ac:dyDescent="0.25">
      <c r="E33" s="1"/>
      <c r="F33" s="1"/>
    </row>
    <row r="34" spans="4:6" x14ac:dyDescent="0.25">
      <c r="E34" s="1"/>
      <c r="F34" s="1"/>
    </row>
    <row r="35" spans="4:6" x14ac:dyDescent="0.25">
      <c r="D35" s="1"/>
      <c r="E35" s="1"/>
      <c r="F35" s="1"/>
    </row>
    <row r="36" spans="4:6" x14ac:dyDescent="0.25">
      <c r="E36" s="1"/>
      <c r="F36" s="1"/>
    </row>
    <row r="37" spans="4:6" x14ac:dyDescent="0.25">
      <c r="D37" s="1"/>
      <c r="E37" s="1"/>
      <c r="F37" s="1"/>
    </row>
    <row r="38" spans="4:6" x14ac:dyDescent="0.25">
      <c r="E38" s="1"/>
      <c r="F38" s="1"/>
    </row>
    <row r="39" spans="4:6" x14ac:dyDescent="0.25">
      <c r="E39" s="1"/>
      <c r="F39" s="1"/>
    </row>
    <row r="40" spans="4:6" x14ac:dyDescent="0.25">
      <c r="E40" s="1"/>
      <c r="F40" s="1"/>
    </row>
    <row r="41" spans="4:6" x14ac:dyDescent="0.25">
      <c r="E41" s="1"/>
      <c r="F41" s="1"/>
    </row>
    <row r="42" spans="4:6" x14ac:dyDescent="0.25">
      <c r="E42" s="1"/>
      <c r="F42" s="1"/>
    </row>
    <row r="43" spans="4:6" x14ac:dyDescent="0.25">
      <c r="E43" s="1"/>
      <c r="F43" s="1"/>
    </row>
    <row r="44" spans="4:6" x14ac:dyDescent="0.25">
      <c r="E44" s="1"/>
      <c r="F44" s="1"/>
    </row>
    <row r="45" spans="4:6" x14ac:dyDescent="0.25">
      <c r="E45" s="1"/>
      <c r="F45" s="1"/>
    </row>
    <row r="46" spans="4:6" x14ac:dyDescent="0.25">
      <c r="E46" s="1"/>
      <c r="F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19" sqref="I19"/>
    </sheetView>
  </sheetViews>
  <sheetFormatPr defaultRowHeight="15" x14ac:dyDescent="0.25"/>
  <cols>
    <col min="1" max="1" width="9.7109375" bestFit="1" customWidth="1"/>
    <col min="3" max="3" width="10" bestFit="1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/>
      <c r="B2" t="s">
        <v>20</v>
      </c>
      <c r="C2" t="s">
        <v>5</v>
      </c>
      <c r="F2" s="5">
        <v>0.33333333333333331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44410</v>
      </c>
      <c r="B4">
        <v>1</v>
      </c>
      <c r="C4" s="1">
        <v>1789</v>
      </c>
      <c r="D4">
        <v>33</v>
      </c>
      <c r="E4">
        <f>+C4/33*1000</f>
        <v>54212.121212121208</v>
      </c>
      <c r="G4" s="2">
        <v>44411</v>
      </c>
      <c r="H4">
        <v>1</v>
      </c>
      <c r="I4">
        <v>1109</v>
      </c>
      <c r="J4">
        <v>33</v>
      </c>
      <c r="K4">
        <f t="shared" ref="K4:K18" si="0">+I4/J4*1000</f>
        <v>33606.060606060608</v>
      </c>
      <c r="L4">
        <f>+E4-K4</f>
        <v>20606.060606060601</v>
      </c>
      <c r="M4">
        <f>+L4/22</f>
        <v>936.63911845730001</v>
      </c>
      <c r="N4">
        <f>AVERAGE(M4:M8)</f>
        <v>964.41095446443012</v>
      </c>
    </row>
    <row r="5" spans="1:14" x14ac:dyDescent="0.25">
      <c r="A5" s="2">
        <v>44410</v>
      </c>
      <c r="B5">
        <v>2</v>
      </c>
      <c r="C5">
        <v>1679</v>
      </c>
      <c r="D5">
        <v>33</v>
      </c>
      <c r="E5">
        <f t="shared" ref="E5:E18" si="1">+C5/33*1000</f>
        <v>50878.787878787873</v>
      </c>
      <c r="G5" s="2">
        <v>44411</v>
      </c>
      <c r="H5">
        <v>2</v>
      </c>
      <c r="I5">
        <v>1033</v>
      </c>
      <c r="J5">
        <v>33</v>
      </c>
      <c r="K5">
        <f t="shared" si="0"/>
        <v>31303.030303030304</v>
      </c>
      <c r="L5">
        <f>+E5-K5</f>
        <v>19575.757575757569</v>
      </c>
      <c r="M5">
        <f t="shared" ref="M5:M7" si="2">+L5/22</f>
        <v>889.80716253443495</v>
      </c>
    </row>
    <row r="6" spans="1:14" x14ac:dyDescent="0.25">
      <c r="A6" s="2">
        <v>44410</v>
      </c>
      <c r="B6">
        <v>3</v>
      </c>
      <c r="C6">
        <v>1799</v>
      </c>
      <c r="D6">
        <v>33</v>
      </c>
      <c r="E6">
        <f t="shared" si="1"/>
        <v>54515.151515151512</v>
      </c>
      <c r="G6" s="2">
        <v>44411</v>
      </c>
      <c r="H6">
        <v>3</v>
      </c>
      <c r="I6">
        <v>1195</v>
      </c>
      <c r="J6">
        <v>33</v>
      </c>
      <c r="K6">
        <f t="shared" si="0"/>
        <v>36212.121212121208</v>
      </c>
      <c r="L6">
        <f t="shared" ref="L6:L18" si="3">+E6-K6</f>
        <v>18303.030303030304</v>
      </c>
      <c r="M6">
        <f t="shared" si="2"/>
        <v>831.9559228650138</v>
      </c>
    </row>
    <row r="7" spans="1:14" x14ac:dyDescent="0.25">
      <c r="A7" s="2">
        <v>44410</v>
      </c>
      <c r="B7">
        <v>4</v>
      </c>
      <c r="C7">
        <v>1691</v>
      </c>
      <c r="D7">
        <v>33</v>
      </c>
      <c r="E7">
        <f t="shared" si="1"/>
        <v>51242.42424242424</v>
      </c>
      <c r="G7" s="2">
        <v>44411</v>
      </c>
      <c r="H7">
        <v>4</v>
      </c>
      <c r="I7">
        <v>1112</v>
      </c>
      <c r="J7">
        <v>33</v>
      </c>
      <c r="K7">
        <f t="shared" si="0"/>
        <v>33696.969696969696</v>
      </c>
      <c r="L7">
        <f t="shared" si="3"/>
        <v>17545.454545454544</v>
      </c>
      <c r="M7">
        <f t="shared" si="2"/>
        <v>797.52066115702473</v>
      </c>
    </row>
    <row r="8" spans="1:14" x14ac:dyDescent="0.25">
      <c r="A8" s="2">
        <v>44410</v>
      </c>
      <c r="B8">
        <v>5</v>
      </c>
      <c r="C8">
        <v>1657</v>
      </c>
      <c r="D8">
        <v>33</v>
      </c>
      <c r="E8">
        <f t="shared" si="1"/>
        <v>50212.121212121208</v>
      </c>
      <c r="G8" s="2">
        <v>44411</v>
      </c>
      <c r="H8">
        <v>5</v>
      </c>
      <c r="I8">
        <v>699</v>
      </c>
      <c r="J8">
        <v>33</v>
      </c>
      <c r="K8">
        <f t="shared" si="0"/>
        <v>21181.818181818184</v>
      </c>
      <c r="L8">
        <f t="shared" si="3"/>
        <v>29030.303030303025</v>
      </c>
      <c r="M8">
        <f>+L8/21.25</f>
        <v>1366.1319073083775</v>
      </c>
    </row>
    <row r="9" spans="1:14" x14ac:dyDescent="0.25">
      <c r="A9" s="2">
        <v>44410</v>
      </c>
      <c r="B9">
        <v>6</v>
      </c>
      <c r="C9">
        <v>1481</v>
      </c>
      <c r="D9">
        <v>33</v>
      </c>
      <c r="E9">
        <f t="shared" si="1"/>
        <v>44878.787878787873</v>
      </c>
      <c r="G9" s="2">
        <v>44411</v>
      </c>
      <c r="H9">
        <v>6</v>
      </c>
      <c r="I9">
        <v>488</v>
      </c>
      <c r="J9">
        <v>33</v>
      </c>
      <c r="K9">
        <f t="shared" si="0"/>
        <v>14787.878787878788</v>
      </c>
      <c r="L9">
        <f t="shared" si="3"/>
        <v>30090.909090909085</v>
      </c>
      <c r="M9">
        <f t="shared" ref="M9:M13" si="4">+L9/21.25</f>
        <v>1416.0427807486628</v>
      </c>
      <c r="N9">
        <f>AVERAGE(M9:M13)</f>
        <v>1122.281639928699</v>
      </c>
    </row>
    <row r="10" spans="1:14" x14ac:dyDescent="0.25">
      <c r="A10" s="2">
        <v>44410</v>
      </c>
      <c r="B10">
        <v>7</v>
      </c>
      <c r="C10">
        <v>1595</v>
      </c>
      <c r="D10">
        <v>33</v>
      </c>
      <c r="E10">
        <f t="shared" si="1"/>
        <v>48333.333333333336</v>
      </c>
      <c r="G10" s="2">
        <v>44411</v>
      </c>
      <c r="H10">
        <v>7</v>
      </c>
      <c r="I10">
        <v>1092</v>
      </c>
      <c r="J10">
        <v>33</v>
      </c>
      <c r="K10">
        <f t="shared" si="0"/>
        <v>33090.909090909096</v>
      </c>
      <c r="L10">
        <f t="shared" si="3"/>
        <v>15242.42424242424</v>
      </c>
      <c r="M10">
        <f t="shared" si="4"/>
        <v>717.29055258467008</v>
      </c>
    </row>
    <row r="11" spans="1:14" x14ac:dyDescent="0.25">
      <c r="A11" s="2">
        <v>44410</v>
      </c>
      <c r="B11">
        <v>8</v>
      </c>
      <c r="C11">
        <v>1857</v>
      </c>
      <c r="D11">
        <v>33</v>
      </c>
      <c r="E11">
        <f t="shared" si="1"/>
        <v>56272.727272727272</v>
      </c>
      <c r="G11" s="2">
        <v>44411</v>
      </c>
      <c r="H11">
        <v>8</v>
      </c>
      <c r="I11">
        <v>1073</v>
      </c>
      <c r="J11">
        <v>33</v>
      </c>
      <c r="K11">
        <f t="shared" si="0"/>
        <v>32515.151515151516</v>
      </c>
      <c r="L11">
        <f t="shared" si="3"/>
        <v>23757.575757575756</v>
      </c>
      <c r="M11">
        <f t="shared" si="4"/>
        <v>1118.0035650623886</v>
      </c>
    </row>
    <row r="12" spans="1:14" x14ac:dyDescent="0.25">
      <c r="A12" s="2">
        <v>44410</v>
      </c>
      <c r="B12">
        <v>9</v>
      </c>
      <c r="C12">
        <v>1385</v>
      </c>
      <c r="D12">
        <v>33</v>
      </c>
      <c r="E12">
        <f t="shared" si="1"/>
        <v>41969.696969696968</v>
      </c>
      <c r="G12" s="2">
        <v>44411</v>
      </c>
      <c r="H12">
        <v>9</v>
      </c>
      <c r="I12">
        <v>393</v>
      </c>
      <c r="J12">
        <v>33</v>
      </c>
      <c r="K12">
        <f t="shared" si="0"/>
        <v>11909.090909090908</v>
      </c>
      <c r="L12">
        <f t="shared" si="3"/>
        <v>30060.60606060606</v>
      </c>
      <c r="M12">
        <f t="shared" si="4"/>
        <v>1414.6167557932263</v>
      </c>
    </row>
    <row r="13" spans="1:14" x14ac:dyDescent="0.25">
      <c r="A13" s="2">
        <v>44410</v>
      </c>
      <c r="B13">
        <v>10</v>
      </c>
      <c r="C13">
        <v>1860</v>
      </c>
      <c r="D13">
        <v>33</v>
      </c>
      <c r="E13">
        <f t="shared" si="1"/>
        <v>56363.636363636368</v>
      </c>
      <c r="G13" s="2">
        <v>44411</v>
      </c>
      <c r="H13">
        <v>10</v>
      </c>
      <c r="I13">
        <v>1197</v>
      </c>
      <c r="J13">
        <v>33</v>
      </c>
      <c r="K13">
        <f t="shared" si="0"/>
        <v>36272.727272727272</v>
      </c>
      <c r="L13">
        <f t="shared" si="3"/>
        <v>20090.909090909096</v>
      </c>
      <c r="M13">
        <f t="shared" si="4"/>
        <v>945.45454545454572</v>
      </c>
    </row>
    <row r="14" spans="1:14" x14ac:dyDescent="0.25">
      <c r="A14" s="2">
        <v>44410</v>
      </c>
      <c r="B14">
        <v>11</v>
      </c>
      <c r="C14">
        <v>1720</v>
      </c>
      <c r="D14">
        <v>33</v>
      </c>
      <c r="E14">
        <f t="shared" si="1"/>
        <v>52121.212121212127</v>
      </c>
      <c r="G14" s="2">
        <v>44411</v>
      </c>
      <c r="H14">
        <v>11</v>
      </c>
      <c r="I14">
        <v>1498</v>
      </c>
      <c r="J14">
        <v>33</v>
      </c>
      <c r="K14">
        <f>+I14/J14*1000</f>
        <v>45393.939393939392</v>
      </c>
      <c r="L14">
        <f t="shared" si="3"/>
        <v>6727.2727272727352</v>
      </c>
      <c r="M14">
        <f t="shared" ref="M14:M18" si="5">+L14/22</f>
        <v>305.78512396694254</v>
      </c>
      <c r="N14">
        <f>AVERAGE(M14:M18)</f>
        <v>550.13774104683193</v>
      </c>
    </row>
    <row r="15" spans="1:14" x14ac:dyDescent="0.25">
      <c r="A15" s="2">
        <v>44410</v>
      </c>
      <c r="B15">
        <v>12</v>
      </c>
      <c r="C15">
        <v>1817</v>
      </c>
      <c r="D15">
        <v>33</v>
      </c>
      <c r="E15">
        <f t="shared" si="1"/>
        <v>55060.606060606064</v>
      </c>
      <c r="G15" s="2">
        <v>44411</v>
      </c>
      <c r="H15">
        <v>12</v>
      </c>
      <c r="I15">
        <v>1472</v>
      </c>
      <c r="J15">
        <v>33</v>
      </c>
      <c r="K15">
        <f t="shared" si="0"/>
        <v>44606.060606060608</v>
      </c>
      <c r="L15">
        <f t="shared" si="3"/>
        <v>10454.545454545456</v>
      </c>
      <c r="M15">
        <f t="shared" si="5"/>
        <v>475.20661157024801</v>
      </c>
    </row>
    <row r="16" spans="1:14" x14ac:dyDescent="0.25">
      <c r="A16" s="2">
        <v>44410</v>
      </c>
      <c r="B16">
        <v>13</v>
      </c>
      <c r="C16">
        <v>1572</v>
      </c>
      <c r="D16">
        <v>33</v>
      </c>
      <c r="E16">
        <f t="shared" si="1"/>
        <v>47636.363636363632</v>
      </c>
      <c r="G16" s="2">
        <v>44411</v>
      </c>
      <c r="H16">
        <v>13</v>
      </c>
      <c r="I16">
        <v>1158</v>
      </c>
      <c r="J16">
        <v>33</v>
      </c>
      <c r="K16">
        <f t="shared" si="0"/>
        <v>35090.909090909096</v>
      </c>
      <c r="L16">
        <f t="shared" si="3"/>
        <v>12545.454545454537</v>
      </c>
      <c r="M16">
        <f t="shared" si="5"/>
        <v>570.24793388429714</v>
      </c>
    </row>
    <row r="17" spans="1:13" x14ac:dyDescent="0.25">
      <c r="A17" s="2">
        <v>44410</v>
      </c>
      <c r="B17">
        <v>14</v>
      </c>
      <c r="C17">
        <v>1596</v>
      </c>
      <c r="D17">
        <v>33</v>
      </c>
      <c r="E17">
        <f t="shared" si="1"/>
        <v>48363.636363636368</v>
      </c>
      <c r="G17" s="2">
        <v>44411</v>
      </c>
      <c r="H17">
        <v>14</v>
      </c>
      <c r="I17">
        <v>1173</v>
      </c>
      <c r="J17">
        <v>33</v>
      </c>
      <c r="K17">
        <f t="shared" si="0"/>
        <v>35545.454545454544</v>
      </c>
      <c r="L17">
        <f t="shared" si="3"/>
        <v>12818.181818181823</v>
      </c>
      <c r="M17">
        <f t="shared" si="5"/>
        <v>582.64462809917381</v>
      </c>
    </row>
    <row r="18" spans="1:13" x14ac:dyDescent="0.25">
      <c r="A18" s="2">
        <v>44410</v>
      </c>
      <c r="B18">
        <v>15</v>
      </c>
      <c r="C18">
        <v>1870</v>
      </c>
      <c r="D18">
        <v>33</v>
      </c>
      <c r="E18">
        <f t="shared" si="1"/>
        <v>56666.666666666664</v>
      </c>
      <c r="G18" s="2">
        <v>44411</v>
      </c>
      <c r="H18">
        <v>15</v>
      </c>
      <c r="I18">
        <v>1277</v>
      </c>
      <c r="J18">
        <v>33</v>
      </c>
      <c r="K18">
        <f t="shared" si="0"/>
        <v>38696.969696969696</v>
      </c>
      <c r="L18">
        <f t="shared" si="3"/>
        <v>17969.696969696968</v>
      </c>
      <c r="M18">
        <f t="shared" si="5"/>
        <v>816.80440771349856</v>
      </c>
    </row>
    <row r="20" spans="1:13" x14ac:dyDescent="0.25">
      <c r="A20" t="s">
        <v>22</v>
      </c>
      <c r="B20" s="7">
        <v>0.41666666666666669</v>
      </c>
    </row>
    <row r="21" spans="1:13" x14ac:dyDescent="0.25">
      <c r="A21" s="6" t="s">
        <v>23</v>
      </c>
      <c r="B21" s="7">
        <v>0.46875</v>
      </c>
    </row>
    <row r="22" spans="1:13" x14ac:dyDescent="0.25">
      <c r="E22">
        <f>AVERAGE(E4:E8)</f>
        <v>52212.121212121216</v>
      </c>
    </row>
    <row r="23" spans="1:13" x14ac:dyDescent="0.25">
      <c r="E23">
        <f>AVERAGE(E9:E13)</f>
        <v>49563.636363636368</v>
      </c>
    </row>
    <row r="24" spans="1:13" x14ac:dyDescent="0.25">
      <c r="E24">
        <f>AVERAGE(E14:E18)</f>
        <v>51969.696969696968</v>
      </c>
    </row>
    <row r="27" spans="1:13" x14ac:dyDescent="0.25">
      <c r="C27" s="3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1" workbookViewId="0">
      <selection activeCell="M5" sqref="M5"/>
    </sheetView>
  </sheetViews>
  <sheetFormatPr defaultRowHeight="15" x14ac:dyDescent="0.25"/>
  <cols>
    <col min="1" max="1" width="18.85546875" customWidth="1"/>
    <col min="2" max="3" width="14" customWidth="1"/>
    <col min="4" max="4" width="15.7109375" customWidth="1"/>
    <col min="6" max="6" width="10.5703125" bestFit="1" customWidth="1"/>
  </cols>
  <sheetData>
    <row r="1" spans="1:16" x14ac:dyDescent="0.25">
      <c r="A1" s="3"/>
      <c r="B1" t="s">
        <v>4</v>
      </c>
      <c r="E1" s="8"/>
      <c r="F1" s="8"/>
      <c r="H1" t="s">
        <v>4</v>
      </c>
      <c r="N1" s="2"/>
    </row>
    <row r="2" spans="1:16" x14ac:dyDescent="0.25">
      <c r="A2" s="3"/>
      <c r="B2" t="s">
        <v>5</v>
      </c>
      <c r="E2" s="8"/>
      <c r="F2" s="8"/>
      <c r="H2" t="s">
        <v>5</v>
      </c>
      <c r="N2" t="s">
        <v>226</v>
      </c>
    </row>
    <row r="3" spans="1:16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H3" t="s">
        <v>220</v>
      </c>
      <c r="I3" t="s">
        <v>221</v>
      </c>
      <c r="J3" t="s">
        <v>222</v>
      </c>
      <c r="K3" s="8" t="s">
        <v>1</v>
      </c>
      <c r="L3" t="s">
        <v>224</v>
      </c>
      <c r="M3" t="s">
        <v>225</v>
      </c>
      <c r="N3" s="5"/>
      <c r="O3" s="8" t="s">
        <v>233</v>
      </c>
    </row>
    <row r="4" spans="1:16" x14ac:dyDescent="0.25">
      <c r="A4" s="3" t="s">
        <v>120</v>
      </c>
      <c r="B4">
        <v>53</v>
      </c>
      <c r="C4" s="1">
        <v>1299</v>
      </c>
      <c r="D4" s="1">
        <f>+B4+C4</f>
        <v>1352</v>
      </c>
      <c r="E4" s="8">
        <v>33</v>
      </c>
      <c r="F4" s="8">
        <f>(1000/E4)*B4</f>
        <v>1606.0606060606062</v>
      </c>
      <c r="H4">
        <v>56</v>
      </c>
      <c r="I4" s="1">
        <v>1342</v>
      </c>
      <c r="J4" s="1">
        <f t="shared" ref="J4:J5" si="0">+H4+I4</f>
        <v>1398</v>
      </c>
      <c r="K4">
        <v>33</v>
      </c>
      <c r="L4">
        <f>+(B4-H4)/B4*100</f>
        <v>-5.6603773584905666</v>
      </c>
      <c r="M4">
        <f>+(C4-I4)/C4*100</f>
        <v>-3.3102386451116246</v>
      </c>
      <c r="N4">
        <f t="shared" ref="N4:N12" si="1">+(D4-J4)/D4*100</f>
        <v>-3.4023668639053253</v>
      </c>
      <c r="O4" s="8">
        <f>(1000/K4)*H4</f>
        <v>1696.969696969697</v>
      </c>
    </row>
    <row r="5" spans="1:16" x14ac:dyDescent="0.25">
      <c r="A5" s="3" t="s">
        <v>113</v>
      </c>
      <c r="B5">
        <v>16</v>
      </c>
      <c r="C5" s="1">
        <v>3085</v>
      </c>
      <c r="D5" s="1">
        <f t="shared" ref="D5:D12" si="2">+B5+C5</f>
        <v>3101</v>
      </c>
      <c r="E5" s="8">
        <v>33</v>
      </c>
      <c r="F5" s="8">
        <f t="shared" ref="F5:F12" si="3">(1000/E5)*B5</f>
        <v>484.84848484848487</v>
      </c>
      <c r="H5">
        <v>22</v>
      </c>
      <c r="I5" s="1">
        <v>2920</v>
      </c>
      <c r="J5" s="1">
        <f t="shared" si="0"/>
        <v>2942</v>
      </c>
      <c r="K5">
        <v>33</v>
      </c>
      <c r="L5">
        <f>+(B5-H5)/B5*100</f>
        <v>-37.5</v>
      </c>
      <c r="M5">
        <f>+(C5-I5)/C5*100</f>
        <v>5.3484602917341979</v>
      </c>
      <c r="N5">
        <f t="shared" si="1"/>
        <v>5.127378265075782</v>
      </c>
      <c r="O5" s="8">
        <f t="shared" ref="O5:O12" si="4">(1000/K5)*H5</f>
        <v>666.66666666666674</v>
      </c>
    </row>
    <row r="6" spans="1:16" x14ac:dyDescent="0.25">
      <c r="A6" s="3" t="s">
        <v>115</v>
      </c>
      <c r="B6">
        <v>24</v>
      </c>
      <c r="C6">
        <v>3062</v>
      </c>
      <c r="D6" s="1">
        <f>+B6+C6</f>
        <v>3086</v>
      </c>
      <c r="E6" s="8">
        <v>33</v>
      </c>
      <c r="F6" s="8">
        <f t="shared" si="3"/>
        <v>727.27272727272725</v>
      </c>
      <c r="H6">
        <v>39</v>
      </c>
      <c r="I6" s="1">
        <v>5424</v>
      </c>
      <c r="J6" s="1">
        <f>+H6+I6</f>
        <v>5463</v>
      </c>
      <c r="K6">
        <v>33</v>
      </c>
      <c r="L6">
        <f>+(B5-H6)/B5*100</f>
        <v>-143.75</v>
      </c>
      <c r="M6">
        <f>+(C5-I6)/C5*100</f>
        <v>-75.818476499189629</v>
      </c>
      <c r="N6">
        <f t="shared" si="1"/>
        <v>-77.025275437459499</v>
      </c>
      <c r="O6" s="8">
        <f t="shared" si="4"/>
        <v>1181.818181818182</v>
      </c>
    </row>
    <row r="7" spans="1:16" x14ac:dyDescent="0.25">
      <c r="A7" s="3" t="s">
        <v>114</v>
      </c>
      <c r="B7">
        <v>35</v>
      </c>
      <c r="C7">
        <v>3331</v>
      </c>
      <c r="D7" s="1">
        <f t="shared" si="2"/>
        <v>3366</v>
      </c>
      <c r="E7" s="14">
        <v>33</v>
      </c>
      <c r="F7" s="8">
        <f t="shared" si="3"/>
        <v>1060.6060606060607</v>
      </c>
      <c r="G7" s="11"/>
      <c r="H7" s="11">
        <v>20</v>
      </c>
      <c r="I7" s="1">
        <v>4824</v>
      </c>
      <c r="J7" s="1">
        <f t="shared" ref="J7:J12" si="5">+H7+I7</f>
        <v>4844</v>
      </c>
      <c r="K7" s="11">
        <v>33</v>
      </c>
      <c r="L7">
        <f>+(H5-H7)/H5*100</f>
        <v>9.0909090909090917</v>
      </c>
      <c r="M7">
        <f>+(I5-I7)/I5*100</f>
        <v>-65.205479452054789</v>
      </c>
      <c r="N7">
        <f t="shared" si="1"/>
        <v>-43.909685086155676</v>
      </c>
      <c r="O7" s="8">
        <f t="shared" si="4"/>
        <v>606.06060606060612</v>
      </c>
      <c r="P7" s="11"/>
    </row>
    <row r="8" spans="1:16" x14ac:dyDescent="0.25">
      <c r="A8" s="3" t="s">
        <v>112</v>
      </c>
      <c r="B8">
        <v>32</v>
      </c>
      <c r="C8" s="1">
        <v>3086</v>
      </c>
      <c r="D8" s="1">
        <f t="shared" si="2"/>
        <v>3118</v>
      </c>
      <c r="E8" s="14">
        <v>33</v>
      </c>
      <c r="F8" s="8">
        <f t="shared" si="3"/>
        <v>969.69696969696975</v>
      </c>
      <c r="G8" s="11"/>
      <c r="H8" s="11">
        <v>24</v>
      </c>
      <c r="I8" s="1">
        <v>3368</v>
      </c>
      <c r="J8" s="1">
        <f t="shared" si="5"/>
        <v>3392</v>
      </c>
      <c r="K8" s="11">
        <v>33</v>
      </c>
      <c r="L8">
        <f t="shared" ref="L8:M12" si="6">+(B8-H8)/B8*100</f>
        <v>25</v>
      </c>
      <c r="M8">
        <f t="shared" si="6"/>
        <v>-9.1380427738172383</v>
      </c>
      <c r="N8">
        <f t="shared" si="1"/>
        <v>-8.7876844130853122</v>
      </c>
      <c r="O8" s="8">
        <f t="shared" si="4"/>
        <v>727.27272727272725</v>
      </c>
      <c r="P8" s="11"/>
    </row>
    <row r="9" spans="1:16" x14ac:dyDescent="0.25">
      <c r="A9" s="3" t="s">
        <v>118</v>
      </c>
      <c r="B9">
        <v>36</v>
      </c>
      <c r="C9" s="1">
        <v>2936</v>
      </c>
      <c r="D9" s="1">
        <f t="shared" si="2"/>
        <v>2972</v>
      </c>
      <c r="E9" s="14">
        <v>33</v>
      </c>
      <c r="F9" s="8">
        <f t="shared" si="3"/>
        <v>1090.909090909091</v>
      </c>
      <c r="G9" s="11"/>
      <c r="H9" s="11">
        <v>34</v>
      </c>
      <c r="I9" s="1">
        <v>4989</v>
      </c>
      <c r="J9" s="1">
        <f t="shared" si="5"/>
        <v>5023</v>
      </c>
      <c r="K9" s="11">
        <v>33</v>
      </c>
      <c r="L9">
        <f t="shared" si="6"/>
        <v>5.5555555555555554</v>
      </c>
      <c r="M9">
        <f t="shared" si="6"/>
        <v>-69.925068119891009</v>
      </c>
      <c r="N9">
        <f t="shared" si="1"/>
        <v>-69.010767160161507</v>
      </c>
      <c r="O9" s="8">
        <f t="shared" si="4"/>
        <v>1030.3030303030303</v>
      </c>
      <c r="P9" s="11"/>
    </row>
    <row r="10" spans="1:16" x14ac:dyDescent="0.25">
      <c r="A10" s="3" t="s">
        <v>119</v>
      </c>
      <c r="B10">
        <v>44</v>
      </c>
      <c r="C10" s="1">
        <v>3436</v>
      </c>
      <c r="D10" s="1">
        <f t="shared" si="2"/>
        <v>3480</v>
      </c>
      <c r="E10" s="14">
        <v>33</v>
      </c>
      <c r="F10" s="8">
        <f t="shared" si="3"/>
        <v>1333.3333333333335</v>
      </c>
      <c r="G10" s="11"/>
      <c r="H10" s="11">
        <v>29</v>
      </c>
      <c r="I10" s="1">
        <v>4862</v>
      </c>
      <c r="J10" s="1">
        <f t="shared" si="5"/>
        <v>4891</v>
      </c>
      <c r="K10" s="11">
        <v>33</v>
      </c>
      <c r="L10">
        <f t="shared" si="6"/>
        <v>34.090909090909086</v>
      </c>
      <c r="M10">
        <f t="shared" si="6"/>
        <v>-41.501746216530847</v>
      </c>
      <c r="N10">
        <f t="shared" si="1"/>
        <v>-40.545977011494259</v>
      </c>
      <c r="O10" s="8">
        <f t="shared" si="4"/>
        <v>878.78787878787887</v>
      </c>
      <c r="P10" s="11"/>
    </row>
    <row r="11" spans="1:16" x14ac:dyDescent="0.25">
      <c r="A11" s="3" t="s">
        <v>116</v>
      </c>
      <c r="B11" s="1">
        <v>34</v>
      </c>
      <c r="C11" s="1">
        <v>3632</v>
      </c>
      <c r="D11" s="1">
        <f t="shared" si="2"/>
        <v>3666</v>
      </c>
      <c r="E11" s="14">
        <v>33</v>
      </c>
      <c r="F11" s="8">
        <f t="shared" si="3"/>
        <v>1030.3030303030303</v>
      </c>
      <c r="G11" s="11"/>
      <c r="H11" s="16">
        <v>28</v>
      </c>
      <c r="I11" s="1">
        <v>3129</v>
      </c>
      <c r="J11" s="1">
        <f t="shared" si="5"/>
        <v>3157</v>
      </c>
      <c r="K11" s="11">
        <v>33</v>
      </c>
      <c r="L11">
        <f t="shared" si="6"/>
        <v>17.647058823529413</v>
      </c>
      <c r="M11">
        <f t="shared" si="6"/>
        <v>13.849118942731279</v>
      </c>
      <c r="N11">
        <f t="shared" si="1"/>
        <v>13.884342607746863</v>
      </c>
      <c r="O11" s="8">
        <f t="shared" si="4"/>
        <v>848.4848484848485</v>
      </c>
      <c r="P11" s="11"/>
    </row>
    <row r="12" spans="1:16" x14ac:dyDescent="0.25">
      <c r="A12" s="3" t="s">
        <v>117</v>
      </c>
      <c r="B12">
        <v>56</v>
      </c>
      <c r="C12" s="1">
        <v>8165</v>
      </c>
      <c r="D12" s="1">
        <f t="shared" si="2"/>
        <v>8221</v>
      </c>
      <c r="E12" s="14">
        <v>33</v>
      </c>
      <c r="F12" s="8">
        <f t="shared" si="3"/>
        <v>1696.969696969697</v>
      </c>
      <c r="G12" s="11"/>
      <c r="H12" s="11">
        <v>49</v>
      </c>
      <c r="I12" s="1">
        <v>5879</v>
      </c>
      <c r="J12" s="1">
        <f t="shared" si="5"/>
        <v>5928</v>
      </c>
      <c r="K12" s="11">
        <v>33</v>
      </c>
      <c r="L12">
        <f t="shared" si="6"/>
        <v>12.5</v>
      </c>
      <c r="M12">
        <f t="shared" si="6"/>
        <v>27.997550520514391</v>
      </c>
      <c r="N12">
        <f t="shared" si="1"/>
        <v>27.891983943559179</v>
      </c>
      <c r="O12" s="8">
        <f t="shared" si="4"/>
        <v>1484.848484848485</v>
      </c>
      <c r="P12" s="11"/>
    </row>
    <row r="13" spans="1:16" x14ac:dyDescent="0.25">
      <c r="F13" t="s">
        <v>234</v>
      </c>
      <c r="G13" t="s">
        <v>235</v>
      </c>
      <c r="O13" t="s">
        <v>234</v>
      </c>
      <c r="P13" t="s">
        <v>235</v>
      </c>
    </row>
    <row r="14" spans="1:16" x14ac:dyDescent="0.25">
      <c r="F14" s="8">
        <f>AVERAGE(F4:F12)</f>
        <v>1111.1111111111111</v>
      </c>
      <c r="G14">
        <f>_xlfn.STDEV.S(F4:F12)</f>
        <v>388.36380660534223</v>
      </c>
      <c r="O14" s="8">
        <f>AVERAGE(O4:O12)</f>
        <v>1013.4680134680134</v>
      </c>
      <c r="P14">
        <f>_xlfn.STDEV.S(O4:O12)</f>
        <v>376.08463012386864</v>
      </c>
    </row>
    <row r="15" spans="1:16" x14ac:dyDescent="0.25">
      <c r="A15" t="s">
        <v>236</v>
      </c>
    </row>
    <row r="16" spans="1:16" x14ac:dyDescent="0.25">
      <c r="B16" t="s">
        <v>220</v>
      </c>
      <c r="C16" t="s">
        <v>221</v>
      </c>
      <c r="D16" t="s">
        <v>222</v>
      </c>
      <c r="E16" s="8" t="s">
        <v>1</v>
      </c>
      <c r="F16" s="8" t="s">
        <v>233</v>
      </c>
    </row>
    <row r="17" spans="1:7" x14ac:dyDescent="0.25">
      <c r="A17" t="s">
        <v>223</v>
      </c>
      <c r="B17">
        <v>33279</v>
      </c>
      <c r="C17" s="1">
        <v>38608</v>
      </c>
      <c r="D17" s="1">
        <f>+B17+C17</f>
        <v>71887</v>
      </c>
      <c r="E17" s="8">
        <v>33</v>
      </c>
      <c r="F17" s="8">
        <f>(1000/E17)*B17</f>
        <v>1008454.5454545455</v>
      </c>
    </row>
    <row r="18" spans="1:7" x14ac:dyDescent="0.25">
      <c r="A18" t="s">
        <v>231</v>
      </c>
      <c r="B18">
        <v>227</v>
      </c>
      <c r="C18" s="1">
        <v>11760</v>
      </c>
      <c r="D18" s="1">
        <f t="shared" ref="D18" si="7">+B18+C18</f>
        <v>11987</v>
      </c>
      <c r="E18" s="8">
        <v>33</v>
      </c>
      <c r="F18" s="8">
        <f>(1000/E18)*B18</f>
        <v>6878.787878787879</v>
      </c>
      <c r="G18" t="s">
        <v>232</v>
      </c>
    </row>
    <row r="28" spans="1:7" x14ac:dyDescent="0.25">
      <c r="E28" s="1"/>
      <c r="F28" s="1"/>
    </row>
    <row r="29" spans="1:7" x14ac:dyDescent="0.25">
      <c r="E29" s="1"/>
      <c r="F29" s="1"/>
    </row>
    <row r="30" spans="1:7" x14ac:dyDescent="0.25">
      <c r="E30" s="1"/>
      <c r="F30" s="1"/>
    </row>
    <row r="31" spans="1:7" x14ac:dyDescent="0.25">
      <c r="E31" s="1"/>
      <c r="F31" s="1"/>
    </row>
    <row r="32" spans="1:7" x14ac:dyDescent="0.25">
      <c r="E32" s="1"/>
      <c r="F32" s="1"/>
    </row>
    <row r="33" spans="4:6" x14ac:dyDescent="0.25">
      <c r="E33" s="1"/>
      <c r="F33" s="1"/>
    </row>
    <row r="34" spans="4:6" x14ac:dyDescent="0.25">
      <c r="E34" s="1"/>
      <c r="F34" s="1"/>
    </row>
    <row r="35" spans="4:6" x14ac:dyDescent="0.25">
      <c r="D35" s="1"/>
      <c r="E35" s="1"/>
      <c r="F35" s="1"/>
    </row>
    <row r="36" spans="4:6" x14ac:dyDescent="0.25">
      <c r="E36" s="1"/>
      <c r="F36" s="1"/>
    </row>
    <row r="37" spans="4:6" x14ac:dyDescent="0.25">
      <c r="D37" s="1"/>
      <c r="E37" s="1"/>
      <c r="F37" s="1"/>
    </row>
    <row r="38" spans="4:6" x14ac:dyDescent="0.25">
      <c r="E38" s="1"/>
      <c r="F38" s="1"/>
    </row>
    <row r="39" spans="4:6" x14ac:dyDescent="0.25">
      <c r="E39" s="1"/>
      <c r="F39" s="1"/>
    </row>
    <row r="40" spans="4:6" x14ac:dyDescent="0.25">
      <c r="E40" s="1"/>
      <c r="F40" s="1"/>
    </row>
    <row r="41" spans="4:6" x14ac:dyDescent="0.25">
      <c r="E41" s="1"/>
      <c r="F41" s="1"/>
    </row>
    <row r="42" spans="4:6" x14ac:dyDescent="0.25">
      <c r="E42" s="1"/>
      <c r="F42" s="1"/>
    </row>
    <row r="43" spans="4:6" x14ac:dyDescent="0.25">
      <c r="E43" s="1"/>
      <c r="F43" s="1"/>
    </row>
    <row r="44" spans="4:6" x14ac:dyDescent="0.25">
      <c r="E44" s="1"/>
      <c r="F44" s="1"/>
    </row>
    <row r="45" spans="4:6" x14ac:dyDescent="0.25">
      <c r="E45" s="1"/>
      <c r="F45" s="1"/>
    </row>
    <row r="46" spans="4:6" x14ac:dyDescent="0.25">
      <c r="E46" s="1"/>
      <c r="F46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opLeftCell="U1" workbookViewId="0">
      <selection activeCell="W15" sqref="W15"/>
    </sheetView>
  </sheetViews>
  <sheetFormatPr defaultRowHeight="15" x14ac:dyDescent="0.25"/>
  <cols>
    <col min="1" max="1" width="18.85546875" customWidth="1"/>
    <col min="2" max="3" width="14" customWidth="1"/>
    <col min="4" max="4" width="15.7109375" customWidth="1"/>
    <col min="6" max="6" width="10.5703125" bestFit="1" customWidth="1"/>
  </cols>
  <sheetData>
    <row r="1" spans="1:33" x14ac:dyDescent="0.25">
      <c r="A1" s="3"/>
      <c r="B1" t="s">
        <v>4</v>
      </c>
      <c r="E1" s="8"/>
      <c r="F1" s="8"/>
      <c r="H1" t="s">
        <v>4</v>
      </c>
      <c r="N1" s="2"/>
      <c r="R1" t="s">
        <v>239</v>
      </c>
    </row>
    <row r="2" spans="1:33" x14ac:dyDescent="0.25">
      <c r="A2" s="3"/>
      <c r="B2" t="s">
        <v>5</v>
      </c>
      <c r="E2" s="8"/>
      <c r="F2" s="8"/>
      <c r="H2" t="s">
        <v>5</v>
      </c>
      <c r="N2" t="s">
        <v>226</v>
      </c>
      <c r="R2" s="3"/>
      <c r="S2" t="s">
        <v>4</v>
      </c>
      <c r="V2" s="8"/>
      <c r="W2" s="8"/>
      <c r="Y2" t="s">
        <v>4</v>
      </c>
      <c r="AE2" s="2"/>
    </row>
    <row r="3" spans="1:33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H3" t="s">
        <v>220</v>
      </c>
      <c r="I3" t="s">
        <v>221</v>
      </c>
      <c r="J3" t="s">
        <v>222</v>
      </c>
      <c r="K3" s="8" t="s">
        <v>1</v>
      </c>
      <c r="L3" t="s">
        <v>224</v>
      </c>
      <c r="M3" t="s">
        <v>225</v>
      </c>
      <c r="N3" s="5"/>
      <c r="O3" s="8" t="s">
        <v>233</v>
      </c>
      <c r="R3" s="3"/>
      <c r="S3" t="s">
        <v>5</v>
      </c>
      <c r="V3" s="8"/>
      <c r="W3" s="8"/>
      <c r="Y3" t="s">
        <v>5</v>
      </c>
      <c r="AE3" t="s">
        <v>226</v>
      </c>
    </row>
    <row r="4" spans="1:33" x14ac:dyDescent="0.25">
      <c r="A4" s="3" t="s">
        <v>120</v>
      </c>
      <c r="B4">
        <v>47</v>
      </c>
      <c r="C4" s="1">
        <v>1424</v>
      </c>
      <c r="D4" s="1">
        <f t="shared" ref="D4:D12" si="0">+B4+C4</f>
        <v>1471</v>
      </c>
      <c r="E4" s="8">
        <v>33</v>
      </c>
      <c r="F4" s="8">
        <f>(1000/E4)*B4</f>
        <v>1424.2424242424242</v>
      </c>
      <c r="H4">
        <v>59</v>
      </c>
      <c r="I4" s="1">
        <v>1635</v>
      </c>
      <c r="J4" s="1">
        <f t="shared" ref="J4:J5" si="1">+H4+I4</f>
        <v>1694</v>
      </c>
      <c r="K4">
        <v>33</v>
      </c>
      <c r="L4">
        <f>+(B4-H4)/B4*100</f>
        <v>-25.531914893617021</v>
      </c>
      <c r="M4">
        <f>+(C4-I4)/C4*100</f>
        <v>-14.817415730337077</v>
      </c>
      <c r="N4">
        <f t="shared" ref="N4:N12" si="2">+(D4-J4)/D4*100</f>
        <v>-15.159755268524814</v>
      </c>
      <c r="O4" s="8">
        <f>+H4/33*1000</f>
        <v>1787.8787878787878</v>
      </c>
      <c r="R4" s="3" t="s">
        <v>106</v>
      </c>
      <c r="S4" t="s">
        <v>220</v>
      </c>
      <c r="T4" t="s">
        <v>221</v>
      </c>
      <c r="U4" t="s">
        <v>222</v>
      </c>
      <c r="V4" s="8" t="s">
        <v>1</v>
      </c>
      <c r="W4" s="8" t="s">
        <v>233</v>
      </c>
      <c r="Y4" t="s">
        <v>220</v>
      </c>
      <c r="Z4" t="s">
        <v>221</v>
      </c>
      <c r="AA4" t="s">
        <v>222</v>
      </c>
      <c r="AB4" s="8" t="s">
        <v>1</v>
      </c>
      <c r="AC4" t="s">
        <v>224</v>
      </c>
      <c r="AD4" t="s">
        <v>225</v>
      </c>
      <c r="AE4" s="5"/>
      <c r="AF4" s="8" t="s">
        <v>233</v>
      </c>
    </row>
    <row r="5" spans="1:33" x14ac:dyDescent="0.25">
      <c r="A5" s="3" t="s">
        <v>113</v>
      </c>
      <c r="B5">
        <v>54</v>
      </c>
      <c r="C5" s="1">
        <v>1608</v>
      </c>
      <c r="D5" s="1">
        <f t="shared" si="0"/>
        <v>1662</v>
      </c>
      <c r="E5" s="8">
        <v>33</v>
      </c>
      <c r="F5" s="8">
        <f t="shared" ref="F5:F12" si="3">(1000/E5)*B5</f>
        <v>1636.3636363636365</v>
      </c>
      <c r="H5">
        <v>34</v>
      </c>
      <c r="I5" s="1">
        <v>1381</v>
      </c>
      <c r="J5" s="1">
        <f t="shared" si="1"/>
        <v>1415</v>
      </c>
      <c r="K5">
        <v>33</v>
      </c>
      <c r="L5">
        <f t="shared" ref="L5:L12" si="4">+(B5-H5)/B5*100</f>
        <v>37.037037037037038</v>
      </c>
      <c r="M5">
        <f t="shared" ref="M5:M12" si="5">+(C5-I5)/C5*100</f>
        <v>14.116915422885572</v>
      </c>
      <c r="N5">
        <f t="shared" si="2"/>
        <v>14.861612515042118</v>
      </c>
      <c r="O5" s="8">
        <f t="shared" ref="O5:O12" si="6">+H5/33*1000</f>
        <v>1030.3030303030303</v>
      </c>
      <c r="R5" s="3" t="s">
        <v>113</v>
      </c>
      <c r="S5">
        <v>19</v>
      </c>
      <c r="T5" s="1">
        <v>1834</v>
      </c>
      <c r="U5" s="1">
        <f t="shared" ref="U5" si="7">+S5+T5</f>
        <v>1853</v>
      </c>
      <c r="V5" s="8">
        <v>33</v>
      </c>
      <c r="W5" s="8">
        <f t="shared" ref="W5:W10" si="8">(1000/V5)*S5</f>
        <v>575.75757575757575</v>
      </c>
      <c r="Y5">
        <v>21</v>
      </c>
      <c r="Z5" s="1">
        <v>1930</v>
      </c>
      <c r="AA5" s="1">
        <f t="shared" ref="AA5" si="9">+Y5+Z5</f>
        <v>1951</v>
      </c>
      <c r="AB5">
        <v>33</v>
      </c>
      <c r="AC5">
        <f>+(S5-Y5)/S5*100</f>
        <v>-10.526315789473683</v>
      </c>
      <c r="AD5">
        <f>+(T5-Z5)/T5*100</f>
        <v>-5.2344601962922575</v>
      </c>
      <c r="AE5">
        <f t="shared" ref="AE5" si="10">+(U5-AA5)/U5*100</f>
        <v>-5.2887209929843495</v>
      </c>
      <c r="AF5" s="8">
        <f>+Y5/33*1000</f>
        <v>636.36363636363637</v>
      </c>
    </row>
    <row r="6" spans="1:33" x14ac:dyDescent="0.25">
      <c r="A6" s="3" t="s">
        <v>115</v>
      </c>
      <c r="B6">
        <v>36</v>
      </c>
      <c r="C6" s="1">
        <v>1596</v>
      </c>
      <c r="D6" s="1">
        <f>+B6+C6</f>
        <v>1632</v>
      </c>
      <c r="E6" s="8">
        <v>33</v>
      </c>
      <c r="F6" s="8">
        <f t="shared" si="3"/>
        <v>1090.909090909091</v>
      </c>
      <c r="H6">
        <v>32</v>
      </c>
      <c r="I6" s="1">
        <v>1571</v>
      </c>
      <c r="J6" s="1">
        <f>+H6+I6</f>
        <v>1603</v>
      </c>
      <c r="K6">
        <v>33</v>
      </c>
      <c r="L6">
        <f t="shared" si="4"/>
        <v>11.111111111111111</v>
      </c>
      <c r="M6">
        <f t="shared" si="5"/>
        <v>1.5664160401002505</v>
      </c>
      <c r="N6">
        <f t="shared" si="2"/>
        <v>1.7769607843137254</v>
      </c>
      <c r="O6" s="8">
        <f t="shared" si="6"/>
        <v>969.69696969696975</v>
      </c>
      <c r="R6" s="3" t="s">
        <v>115</v>
      </c>
      <c r="S6">
        <v>16</v>
      </c>
      <c r="T6" s="1">
        <v>1470</v>
      </c>
      <c r="U6" s="1">
        <f>+S6+T6</f>
        <v>1486</v>
      </c>
      <c r="V6" s="8">
        <v>33</v>
      </c>
      <c r="W6" s="8">
        <f t="shared" si="8"/>
        <v>484.84848484848487</v>
      </c>
      <c r="Y6">
        <v>20</v>
      </c>
      <c r="Z6" s="1">
        <v>1518</v>
      </c>
      <c r="AA6" s="1">
        <f>+Y6+Z6</f>
        <v>1538</v>
      </c>
      <c r="AB6">
        <v>33</v>
      </c>
      <c r="AC6">
        <f t="shared" ref="AC6:AC12" si="11">+(S6-Y6)/S6*100</f>
        <v>-25</v>
      </c>
      <c r="AD6">
        <f t="shared" ref="AD6:AD12" si="12">+(T6-Z6)/T6*100</f>
        <v>-3.2653061224489797</v>
      </c>
      <c r="AE6">
        <f t="shared" ref="AE6:AE12" si="13">+(U6-AA6)/U6*100</f>
        <v>-3.4993270524899054</v>
      </c>
      <c r="AF6" s="8">
        <f t="shared" ref="AF6:AF12" si="14">+Y6/33*1000</f>
        <v>606.06060606060612</v>
      </c>
    </row>
    <row r="7" spans="1:33" x14ac:dyDescent="0.25">
      <c r="A7" s="3" t="s">
        <v>114</v>
      </c>
      <c r="B7">
        <v>313</v>
      </c>
      <c r="C7" s="1">
        <v>2671</v>
      </c>
      <c r="D7" s="1">
        <f t="shared" si="0"/>
        <v>2984</v>
      </c>
      <c r="E7" s="14">
        <v>33</v>
      </c>
      <c r="F7" s="8">
        <f t="shared" si="3"/>
        <v>9484.8484848484859</v>
      </c>
      <c r="G7" s="11"/>
      <c r="H7">
        <v>26</v>
      </c>
      <c r="I7" s="1">
        <v>1321</v>
      </c>
      <c r="J7" s="1">
        <f t="shared" ref="J7:J12" si="15">+H7+I7</f>
        <v>1347</v>
      </c>
      <c r="K7" s="11">
        <v>33</v>
      </c>
      <c r="L7">
        <f t="shared" si="4"/>
        <v>91.693290734824288</v>
      </c>
      <c r="M7">
        <f t="shared" si="5"/>
        <v>50.542867839760383</v>
      </c>
      <c r="N7">
        <f t="shared" si="2"/>
        <v>54.859249329758711</v>
      </c>
      <c r="O7" s="8">
        <f t="shared" si="6"/>
        <v>787.87878787878788</v>
      </c>
      <c r="P7" s="11"/>
      <c r="R7" s="3" t="s">
        <v>114</v>
      </c>
      <c r="S7">
        <v>23</v>
      </c>
      <c r="T7" s="1">
        <v>1648</v>
      </c>
      <c r="U7" s="1">
        <f t="shared" ref="U7:U10" si="16">+S7+T7</f>
        <v>1671</v>
      </c>
      <c r="V7" s="14">
        <v>33</v>
      </c>
      <c r="W7" s="8">
        <f t="shared" si="8"/>
        <v>696.969696969697</v>
      </c>
      <c r="Y7">
        <v>42</v>
      </c>
      <c r="Z7" s="1">
        <v>1703</v>
      </c>
      <c r="AA7" s="1">
        <f t="shared" ref="AA7:AA12" si="17">+Y7+Z7</f>
        <v>1745</v>
      </c>
      <c r="AB7" s="11">
        <v>33</v>
      </c>
      <c r="AC7">
        <f t="shared" si="11"/>
        <v>-82.608695652173907</v>
      </c>
      <c r="AD7">
        <f t="shared" si="12"/>
        <v>-3.337378640776699</v>
      </c>
      <c r="AE7">
        <f t="shared" si="13"/>
        <v>-4.4284859365649316</v>
      </c>
      <c r="AF7" s="8">
        <f t="shared" si="14"/>
        <v>1272.7272727272727</v>
      </c>
    </row>
    <row r="8" spans="1:33" x14ac:dyDescent="0.25">
      <c r="A8" s="3" t="s">
        <v>112</v>
      </c>
      <c r="B8">
        <v>40</v>
      </c>
      <c r="C8" s="1">
        <v>2094</v>
      </c>
      <c r="D8" s="1">
        <f t="shared" si="0"/>
        <v>2134</v>
      </c>
      <c r="E8" s="14">
        <v>33</v>
      </c>
      <c r="F8" s="8">
        <f t="shared" si="3"/>
        <v>1212.1212121212122</v>
      </c>
      <c r="G8" s="11"/>
      <c r="H8">
        <v>33</v>
      </c>
      <c r="I8" s="1">
        <v>1305</v>
      </c>
      <c r="J8" s="1">
        <f t="shared" si="15"/>
        <v>1338</v>
      </c>
      <c r="K8" s="11">
        <v>33</v>
      </c>
      <c r="L8">
        <f t="shared" si="4"/>
        <v>17.5</v>
      </c>
      <c r="M8">
        <f t="shared" si="5"/>
        <v>37.679083094555878</v>
      </c>
      <c r="N8">
        <f t="shared" si="2"/>
        <v>37.300843486410493</v>
      </c>
      <c r="O8" s="8">
        <f t="shared" si="6"/>
        <v>1000</v>
      </c>
      <c r="P8" s="11"/>
      <c r="R8" s="3" t="s">
        <v>112</v>
      </c>
      <c r="S8">
        <v>17</v>
      </c>
      <c r="T8" s="1">
        <v>1463</v>
      </c>
      <c r="U8" s="1">
        <f t="shared" si="16"/>
        <v>1480</v>
      </c>
      <c r="V8" s="14">
        <v>33</v>
      </c>
      <c r="W8" s="8">
        <f t="shared" si="8"/>
        <v>515.15151515151513</v>
      </c>
      <c r="X8" s="11"/>
      <c r="Y8">
        <v>19</v>
      </c>
      <c r="Z8" s="1">
        <v>1258</v>
      </c>
      <c r="AA8" s="1">
        <f t="shared" si="17"/>
        <v>1277</v>
      </c>
      <c r="AB8" s="11">
        <v>33</v>
      </c>
      <c r="AC8">
        <f t="shared" si="11"/>
        <v>-11.76470588235294</v>
      </c>
      <c r="AD8">
        <f t="shared" si="12"/>
        <v>14.012303485987696</v>
      </c>
      <c r="AE8">
        <f t="shared" si="13"/>
        <v>13.716216216216214</v>
      </c>
      <c r="AF8" s="8">
        <f t="shared" si="14"/>
        <v>575.75757575757575</v>
      </c>
      <c r="AG8" s="11"/>
    </row>
    <row r="9" spans="1:33" x14ac:dyDescent="0.25">
      <c r="A9" s="3" t="s">
        <v>118</v>
      </c>
      <c r="B9">
        <v>40</v>
      </c>
      <c r="C9">
        <v>977</v>
      </c>
      <c r="D9" s="1">
        <f t="shared" si="0"/>
        <v>1017</v>
      </c>
      <c r="E9" s="14">
        <v>33</v>
      </c>
      <c r="F9" s="8">
        <f t="shared" si="3"/>
        <v>1212.1212121212122</v>
      </c>
      <c r="G9" s="11"/>
      <c r="H9">
        <v>24</v>
      </c>
      <c r="I9" s="1">
        <v>1089</v>
      </c>
      <c r="J9" s="1">
        <f t="shared" si="15"/>
        <v>1113</v>
      </c>
      <c r="K9" s="11">
        <v>33</v>
      </c>
      <c r="L9">
        <f t="shared" si="4"/>
        <v>40</v>
      </c>
      <c r="M9">
        <f t="shared" si="5"/>
        <v>-11.463664278403275</v>
      </c>
      <c r="N9">
        <f t="shared" si="2"/>
        <v>-9.4395280235988199</v>
      </c>
      <c r="O9" s="8">
        <f t="shared" si="6"/>
        <v>727.27272727272725</v>
      </c>
      <c r="P9" s="11"/>
      <c r="R9" s="3" t="s">
        <v>118</v>
      </c>
      <c r="S9">
        <v>12</v>
      </c>
      <c r="T9">
        <v>812</v>
      </c>
      <c r="U9" s="1">
        <f t="shared" si="16"/>
        <v>824</v>
      </c>
      <c r="V9" s="14">
        <v>33</v>
      </c>
      <c r="W9" s="8">
        <f t="shared" si="8"/>
        <v>363.63636363636363</v>
      </c>
      <c r="X9" s="11"/>
      <c r="Y9">
        <v>13</v>
      </c>
      <c r="Z9" s="1">
        <v>1280</v>
      </c>
      <c r="AA9" s="1">
        <f t="shared" si="17"/>
        <v>1293</v>
      </c>
      <c r="AB9" s="11">
        <v>33</v>
      </c>
      <c r="AC9">
        <f t="shared" si="11"/>
        <v>-8.3333333333333321</v>
      </c>
      <c r="AD9">
        <f t="shared" si="12"/>
        <v>-57.635467980295566</v>
      </c>
      <c r="AE9">
        <f t="shared" si="13"/>
        <v>-56.917475728155345</v>
      </c>
      <c r="AF9" s="8">
        <f t="shared" si="14"/>
        <v>393.93939393939394</v>
      </c>
      <c r="AG9" s="11"/>
    </row>
    <row r="10" spans="1:33" x14ac:dyDescent="0.25">
      <c r="A10" s="3" t="s">
        <v>119</v>
      </c>
      <c r="B10">
        <v>59</v>
      </c>
      <c r="C10" s="1">
        <v>2529</v>
      </c>
      <c r="D10" s="1">
        <f t="shared" si="0"/>
        <v>2588</v>
      </c>
      <c r="E10" s="14">
        <v>33</v>
      </c>
      <c r="F10" s="8">
        <f t="shared" si="3"/>
        <v>1787.878787878788</v>
      </c>
      <c r="G10" s="11"/>
      <c r="H10">
        <v>45</v>
      </c>
      <c r="I10" s="1">
        <v>1298</v>
      </c>
      <c r="J10" s="1">
        <f t="shared" si="15"/>
        <v>1343</v>
      </c>
      <c r="K10" s="11">
        <v>33</v>
      </c>
      <c r="L10">
        <f t="shared" si="4"/>
        <v>23.728813559322035</v>
      </c>
      <c r="M10">
        <f t="shared" si="5"/>
        <v>48.675365757216291</v>
      </c>
      <c r="N10">
        <f t="shared" si="2"/>
        <v>48.106646058732608</v>
      </c>
      <c r="O10" s="8">
        <f t="shared" si="6"/>
        <v>1363.6363636363635</v>
      </c>
      <c r="P10" s="11"/>
      <c r="R10" s="3" t="s">
        <v>119</v>
      </c>
      <c r="S10">
        <v>15</v>
      </c>
      <c r="T10">
        <v>910</v>
      </c>
      <c r="U10" s="1">
        <f t="shared" si="16"/>
        <v>925</v>
      </c>
      <c r="V10" s="14">
        <v>33</v>
      </c>
      <c r="W10" s="8">
        <f t="shared" si="8"/>
        <v>454.54545454545456</v>
      </c>
      <c r="X10" s="11"/>
      <c r="Y10">
        <v>6</v>
      </c>
      <c r="Z10">
        <v>935</v>
      </c>
      <c r="AA10" s="1">
        <f t="shared" si="17"/>
        <v>941</v>
      </c>
      <c r="AB10" s="11">
        <v>33</v>
      </c>
      <c r="AC10">
        <f t="shared" si="11"/>
        <v>60</v>
      </c>
      <c r="AD10">
        <f t="shared" si="12"/>
        <v>-2.7472527472527473</v>
      </c>
      <c r="AE10">
        <f t="shared" si="13"/>
        <v>-1.7297297297297298</v>
      </c>
      <c r="AF10" s="8">
        <f t="shared" si="14"/>
        <v>181.81818181818181</v>
      </c>
      <c r="AG10" s="11"/>
    </row>
    <row r="11" spans="1:33" x14ac:dyDescent="0.25">
      <c r="A11" s="3" t="s">
        <v>116</v>
      </c>
      <c r="B11">
        <v>38</v>
      </c>
      <c r="C11">
        <v>948</v>
      </c>
      <c r="D11" s="1">
        <f t="shared" si="0"/>
        <v>986</v>
      </c>
      <c r="E11" s="14">
        <v>33</v>
      </c>
      <c r="F11" s="8">
        <f t="shared" si="3"/>
        <v>1151.5151515151515</v>
      </c>
      <c r="G11" s="11"/>
      <c r="H11">
        <v>59</v>
      </c>
      <c r="I11" s="1">
        <v>1382</v>
      </c>
      <c r="J11" s="1">
        <f t="shared" si="15"/>
        <v>1441</v>
      </c>
      <c r="K11" s="11">
        <v>33</v>
      </c>
      <c r="L11">
        <f t="shared" si="4"/>
        <v>-55.26315789473685</v>
      </c>
      <c r="M11">
        <f t="shared" si="5"/>
        <v>-45.780590717299582</v>
      </c>
      <c r="N11">
        <f t="shared" si="2"/>
        <v>-46.146044624746452</v>
      </c>
      <c r="O11" s="8">
        <f t="shared" si="6"/>
        <v>1787.8787878787878</v>
      </c>
      <c r="P11" s="11"/>
      <c r="R11" s="3" t="s">
        <v>116</v>
      </c>
      <c r="S11">
        <v>15</v>
      </c>
      <c r="T11" s="1">
        <v>858</v>
      </c>
      <c r="U11" s="1">
        <f>+S11+T11</f>
        <v>873</v>
      </c>
      <c r="V11" s="14">
        <v>33</v>
      </c>
      <c r="W11" s="8">
        <f>(1000/V11)*S11</f>
        <v>454.54545454545456</v>
      </c>
      <c r="X11" s="11"/>
      <c r="Y11">
        <v>31</v>
      </c>
      <c r="Z11">
        <v>958</v>
      </c>
      <c r="AA11" s="1">
        <f t="shared" si="17"/>
        <v>989</v>
      </c>
      <c r="AB11" s="11">
        <v>33</v>
      </c>
      <c r="AC11">
        <f t="shared" si="11"/>
        <v>-106.66666666666667</v>
      </c>
      <c r="AD11">
        <f t="shared" si="12"/>
        <v>-11.655011655011654</v>
      </c>
      <c r="AE11">
        <f t="shared" si="13"/>
        <v>-13.287514318442154</v>
      </c>
      <c r="AF11" s="8">
        <f t="shared" si="14"/>
        <v>939.39393939393949</v>
      </c>
      <c r="AG11" s="11"/>
    </row>
    <row r="12" spans="1:33" x14ac:dyDescent="0.25">
      <c r="A12" s="3" t="s">
        <v>117</v>
      </c>
      <c r="B12">
        <v>48</v>
      </c>
      <c r="C12" s="1">
        <v>1239</v>
      </c>
      <c r="D12" s="1">
        <f t="shared" si="0"/>
        <v>1287</v>
      </c>
      <c r="E12" s="14">
        <v>33</v>
      </c>
      <c r="F12" s="8">
        <f t="shared" si="3"/>
        <v>1454.5454545454545</v>
      </c>
      <c r="G12" s="11"/>
      <c r="H12">
        <v>46</v>
      </c>
      <c r="I12" s="1">
        <v>1562</v>
      </c>
      <c r="J12" s="1">
        <f t="shared" si="15"/>
        <v>1608</v>
      </c>
      <c r="K12" s="11">
        <v>33</v>
      </c>
      <c r="L12">
        <f t="shared" si="4"/>
        <v>4.1666666666666661</v>
      </c>
      <c r="M12">
        <f t="shared" si="5"/>
        <v>-26.069410815173526</v>
      </c>
      <c r="N12">
        <f t="shared" si="2"/>
        <v>-24.941724941724942</v>
      </c>
      <c r="O12" s="8">
        <f t="shared" si="6"/>
        <v>1393.939393939394</v>
      </c>
      <c r="P12" s="11"/>
      <c r="R12" s="3" t="s">
        <v>117</v>
      </c>
      <c r="S12">
        <v>27</v>
      </c>
      <c r="T12">
        <v>960</v>
      </c>
      <c r="U12" s="1">
        <f>+S12+T12</f>
        <v>987</v>
      </c>
      <c r="V12" s="14">
        <v>33</v>
      </c>
      <c r="W12" s="8">
        <f>(1000/V12)*S12</f>
        <v>818.18181818181824</v>
      </c>
      <c r="X12" s="11"/>
      <c r="Y12">
        <v>46</v>
      </c>
      <c r="Z12" s="1">
        <v>1562</v>
      </c>
      <c r="AA12" s="1">
        <f t="shared" si="17"/>
        <v>1608</v>
      </c>
      <c r="AB12" s="11">
        <v>33</v>
      </c>
      <c r="AC12">
        <f t="shared" si="11"/>
        <v>-70.370370370370367</v>
      </c>
      <c r="AD12">
        <f t="shared" si="12"/>
        <v>-62.708333333333336</v>
      </c>
      <c r="AE12">
        <f t="shared" si="13"/>
        <v>-62.91793313069909</v>
      </c>
      <c r="AF12" s="8">
        <f t="shared" si="14"/>
        <v>1393.939393939394</v>
      </c>
      <c r="AG12" s="11"/>
    </row>
    <row r="13" spans="1:33" x14ac:dyDescent="0.25">
      <c r="F13" t="s">
        <v>234</v>
      </c>
      <c r="G13" t="s">
        <v>235</v>
      </c>
      <c r="O13" t="s">
        <v>234</v>
      </c>
      <c r="P13" t="s">
        <v>235</v>
      </c>
      <c r="W13" t="s">
        <v>234</v>
      </c>
      <c r="X13" s="11"/>
      <c r="AF13" t="s">
        <v>234</v>
      </c>
      <c r="AG13" s="11"/>
    </row>
    <row r="14" spans="1:33" x14ac:dyDescent="0.25">
      <c r="F14" s="8">
        <f>AVERAGE(F4:F12)</f>
        <v>2272.727272727273</v>
      </c>
      <c r="G14">
        <f>_xlfn.STDEV.S(F4:F12)</f>
        <v>2714.4902468558407</v>
      </c>
      <c r="O14" s="8">
        <f>AVERAGE(O4:O12)</f>
        <v>1205.3872053872053</v>
      </c>
      <c r="P14">
        <f>_xlfn.STDEV.S(O4:O12)</f>
        <v>398.51013221371448</v>
      </c>
      <c r="W14" s="8">
        <f>AVERAGE(W5:W12)</f>
        <v>545.45454545454538</v>
      </c>
      <c r="X14" t="s">
        <v>235</v>
      </c>
      <c r="AF14" s="8">
        <f>AVERAGE(AF5:AF12)</f>
        <v>750</v>
      </c>
      <c r="AG14" t="s">
        <v>235</v>
      </c>
    </row>
    <row r="15" spans="1:33" x14ac:dyDescent="0.25">
      <c r="A15" t="s">
        <v>236</v>
      </c>
      <c r="X15">
        <f>_xlfn.STDEV.S(W5:W12)</f>
        <v>147.56762380137965</v>
      </c>
      <c r="AG15">
        <f>_xlfn.STDEV.S(AF5:AF12)</f>
        <v>420.4374825912609</v>
      </c>
    </row>
    <row r="16" spans="1:33" x14ac:dyDescent="0.25">
      <c r="B16" t="s">
        <v>220</v>
      </c>
      <c r="C16" t="s">
        <v>221</v>
      </c>
      <c r="D16" t="s">
        <v>222</v>
      </c>
      <c r="E16" s="8" t="s">
        <v>1</v>
      </c>
      <c r="F16" s="8" t="s">
        <v>233</v>
      </c>
    </row>
    <row r="17" spans="1:6" x14ac:dyDescent="0.25">
      <c r="A17" t="s">
        <v>240</v>
      </c>
      <c r="B17" t="s">
        <v>241</v>
      </c>
      <c r="C17" t="s">
        <v>242</v>
      </c>
      <c r="E17">
        <v>177</v>
      </c>
      <c r="F17" s="1">
        <v>2282</v>
      </c>
    </row>
    <row r="18" spans="1:6" x14ac:dyDescent="0.25">
      <c r="A18" t="s">
        <v>243</v>
      </c>
      <c r="B18" t="s">
        <v>244</v>
      </c>
      <c r="C18" t="s">
        <v>245</v>
      </c>
      <c r="E18">
        <v>84</v>
      </c>
      <c r="F18" s="1">
        <v>4996</v>
      </c>
    </row>
    <row r="19" spans="1:6" x14ac:dyDescent="0.25">
      <c r="A19" t="s">
        <v>246</v>
      </c>
      <c r="B19" t="s">
        <v>247</v>
      </c>
      <c r="E19" s="1">
        <v>28834</v>
      </c>
      <c r="F19" s="1">
        <v>14182</v>
      </c>
    </row>
    <row r="26" spans="1:6" x14ac:dyDescent="0.25">
      <c r="D26" s="1"/>
    </row>
    <row r="27" spans="1:6" x14ac:dyDescent="0.25">
      <c r="D27" s="1"/>
    </row>
    <row r="28" spans="1:6" x14ac:dyDescent="0.25">
      <c r="D28" s="1"/>
      <c r="E28" s="1"/>
      <c r="F28" s="1"/>
    </row>
    <row r="29" spans="1:6" x14ac:dyDescent="0.25">
      <c r="D29" s="1"/>
      <c r="E29" s="1"/>
      <c r="F29" s="1"/>
    </row>
    <row r="30" spans="1:6" x14ac:dyDescent="0.25">
      <c r="E30" s="1"/>
      <c r="F30" s="1"/>
    </row>
    <row r="31" spans="1:6" x14ac:dyDescent="0.25">
      <c r="E31" s="1"/>
      <c r="F31" s="1"/>
    </row>
    <row r="32" spans="1:6" x14ac:dyDescent="0.25">
      <c r="D32" s="1"/>
      <c r="E32" s="1"/>
      <c r="F32" s="1"/>
    </row>
    <row r="33" spans="2:6" x14ac:dyDescent="0.25">
      <c r="D33" s="1"/>
      <c r="E33" s="1"/>
      <c r="F33" s="1"/>
    </row>
    <row r="34" spans="2:6" x14ac:dyDescent="0.25">
      <c r="D34" s="1"/>
      <c r="E34" s="1"/>
      <c r="F34" s="1"/>
    </row>
    <row r="35" spans="2:6" x14ac:dyDescent="0.25">
      <c r="D35" s="1"/>
      <c r="E35" s="1"/>
      <c r="F35" s="1"/>
    </row>
    <row r="36" spans="2:6" x14ac:dyDescent="0.25">
      <c r="D36" s="1"/>
      <c r="E36" s="1"/>
      <c r="F36" s="1"/>
    </row>
    <row r="37" spans="2:6" x14ac:dyDescent="0.25">
      <c r="D37" s="1"/>
      <c r="E37" s="1"/>
      <c r="F37" s="1"/>
    </row>
    <row r="38" spans="2:6" x14ac:dyDescent="0.25">
      <c r="D38" s="1"/>
      <c r="E38" s="1"/>
      <c r="F38" s="1"/>
    </row>
    <row r="39" spans="2:6" x14ac:dyDescent="0.25">
      <c r="D39" s="1"/>
      <c r="E39" s="1"/>
      <c r="F39" s="1"/>
    </row>
    <row r="40" spans="2:6" x14ac:dyDescent="0.25">
      <c r="D40" s="1"/>
      <c r="E40" s="1"/>
      <c r="F40" s="1"/>
    </row>
    <row r="41" spans="2:6" x14ac:dyDescent="0.25">
      <c r="D41" s="1"/>
      <c r="E41" s="1"/>
      <c r="F41" s="1"/>
    </row>
    <row r="42" spans="2:6" x14ac:dyDescent="0.25">
      <c r="B42" s="1"/>
      <c r="D42" s="1"/>
      <c r="E42" s="1"/>
      <c r="F42" s="1"/>
    </row>
    <row r="43" spans="2:6" x14ac:dyDescent="0.25">
      <c r="D43" s="1"/>
      <c r="E43" s="1"/>
      <c r="F43" s="1"/>
    </row>
    <row r="44" spans="2:6" x14ac:dyDescent="0.25">
      <c r="D44" s="1"/>
      <c r="E44" s="1"/>
      <c r="F44" s="1"/>
    </row>
    <row r="45" spans="2:6" x14ac:dyDescent="0.25">
      <c r="D45" s="1"/>
      <c r="E45" s="1"/>
      <c r="F45" s="1"/>
    </row>
    <row r="46" spans="2:6" x14ac:dyDescent="0.25">
      <c r="D46" s="1"/>
      <c r="E46" s="1"/>
      <c r="F46" s="1"/>
    </row>
    <row r="47" spans="2:6" x14ac:dyDescent="0.25">
      <c r="D47" s="1"/>
    </row>
    <row r="48" spans="2:6" x14ac:dyDescent="0.25">
      <c r="D48" s="1"/>
    </row>
    <row r="49" spans="4:4" x14ac:dyDescent="0.25">
      <c r="D49" s="1"/>
    </row>
    <row r="50" spans="4:4" x14ac:dyDescent="0.25">
      <c r="D50" s="1"/>
    </row>
    <row r="52" spans="4:4" x14ac:dyDescent="0.25">
      <c r="D52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60" spans="4:4" x14ac:dyDescent="0.25">
      <c r="D60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K8" sqref="K8"/>
    </sheetView>
  </sheetViews>
  <sheetFormatPr defaultRowHeight="15" x14ac:dyDescent="0.25"/>
  <cols>
    <col min="1" max="1" width="18.85546875" customWidth="1"/>
    <col min="2" max="3" width="14" customWidth="1"/>
    <col min="4" max="4" width="15.7109375" customWidth="1"/>
    <col min="6" max="6" width="10.5703125" bestFit="1" customWidth="1"/>
    <col min="7" max="7" width="9.5703125" customWidth="1"/>
  </cols>
  <sheetData>
    <row r="1" spans="1:16" x14ac:dyDescent="0.25">
      <c r="A1" s="3"/>
      <c r="B1" t="s">
        <v>4</v>
      </c>
      <c r="E1" s="8"/>
      <c r="F1" s="8"/>
      <c r="H1" t="s">
        <v>4</v>
      </c>
      <c r="N1" s="2"/>
    </row>
    <row r="2" spans="1:16" x14ac:dyDescent="0.25">
      <c r="A2" s="3"/>
      <c r="B2" t="s">
        <v>5</v>
      </c>
      <c r="E2" s="8"/>
      <c r="F2" s="8"/>
      <c r="H2" t="s">
        <v>5</v>
      </c>
      <c r="N2" t="s">
        <v>226</v>
      </c>
    </row>
    <row r="3" spans="1:16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H3" t="s">
        <v>220</v>
      </c>
      <c r="I3" t="s">
        <v>221</v>
      </c>
      <c r="J3" t="s">
        <v>222</v>
      </c>
      <c r="K3" s="8" t="s">
        <v>1</v>
      </c>
      <c r="L3" t="s">
        <v>224</v>
      </c>
      <c r="M3" t="s">
        <v>225</v>
      </c>
      <c r="N3" s="5"/>
      <c r="O3" s="8" t="s">
        <v>233</v>
      </c>
    </row>
    <row r="4" spans="1:16" x14ac:dyDescent="0.25">
      <c r="A4" s="3" t="s">
        <v>120</v>
      </c>
      <c r="B4">
        <v>45</v>
      </c>
      <c r="C4" s="1">
        <v>1890</v>
      </c>
      <c r="D4" s="1">
        <f>+B4+C4</f>
        <v>1935</v>
      </c>
      <c r="E4" s="8">
        <v>33</v>
      </c>
      <c r="F4" s="8">
        <f>(1000/E4)*B4</f>
        <v>1363.6363636363637</v>
      </c>
      <c r="H4">
        <v>39</v>
      </c>
      <c r="I4" s="1">
        <v>2712</v>
      </c>
      <c r="J4" s="1">
        <f t="shared" ref="J4:J5" si="0">+H4+I4</f>
        <v>2751</v>
      </c>
      <c r="K4">
        <v>33</v>
      </c>
      <c r="L4">
        <f>+(B4-H4)/B4*100</f>
        <v>13.333333333333334</v>
      </c>
      <c r="M4">
        <f t="shared" ref="M4:N4" si="1">+(C4-I4)/C4*100</f>
        <v>-43.492063492063494</v>
      </c>
      <c r="N4">
        <f t="shared" si="1"/>
        <v>-42.170542635658911</v>
      </c>
      <c r="O4" s="8">
        <f>(1000/K4)*H4</f>
        <v>1181.818181818182</v>
      </c>
    </row>
    <row r="5" spans="1:16" x14ac:dyDescent="0.25">
      <c r="A5" s="3" t="s">
        <v>113</v>
      </c>
      <c r="B5">
        <v>10</v>
      </c>
      <c r="C5" s="1">
        <v>3896</v>
      </c>
      <c r="D5" s="1">
        <f t="shared" ref="D5:D12" si="2">+B5+C5</f>
        <v>3906</v>
      </c>
      <c r="E5" s="8">
        <v>33</v>
      </c>
      <c r="F5" s="8">
        <f t="shared" ref="F5:F12" si="3">(1000/E5)*B5</f>
        <v>303.03030303030306</v>
      </c>
      <c r="H5">
        <v>8</v>
      </c>
      <c r="I5" s="1">
        <v>4470</v>
      </c>
      <c r="J5" s="1">
        <f t="shared" si="0"/>
        <v>4478</v>
      </c>
      <c r="K5">
        <v>33</v>
      </c>
      <c r="L5">
        <f t="shared" ref="L5:L12" si="4">+(B5-H5)/B5*100</f>
        <v>20</v>
      </c>
      <c r="M5">
        <f t="shared" ref="M5:M12" si="5">+(C5-I5)/C5*100</f>
        <v>-14.733059548254621</v>
      </c>
      <c r="N5">
        <f t="shared" ref="N5:N12" si="6">+(D5-J5)/D5*100</f>
        <v>-14.644137224782385</v>
      </c>
      <c r="O5" s="8">
        <f t="shared" ref="O5:O12" si="7">(1000/K5)*H5</f>
        <v>242.42424242424244</v>
      </c>
    </row>
    <row r="6" spans="1:16" x14ac:dyDescent="0.25">
      <c r="A6" s="3" t="s">
        <v>115</v>
      </c>
      <c r="B6">
        <v>15</v>
      </c>
      <c r="C6">
        <v>2538</v>
      </c>
      <c r="D6" s="1">
        <f>+B6+C6</f>
        <v>2553</v>
      </c>
      <c r="E6" s="8">
        <v>33</v>
      </c>
      <c r="F6" s="8">
        <f t="shared" si="3"/>
        <v>454.54545454545456</v>
      </c>
      <c r="H6">
        <v>23</v>
      </c>
      <c r="I6" s="1">
        <v>4720</v>
      </c>
      <c r="J6" s="1">
        <f>+H6+I6</f>
        <v>4743</v>
      </c>
      <c r="K6">
        <v>33</v>
      </c>
      <c r="L6">
        <f t="shared" si="4"/>
        <v>-53.333333333333336</v>
      </c>
      <c r="M6">
        <f t="shared" si="5"/>
        <v>-85.973207249802996</v>
      </c>
      <c r="N6">
        <f t="shared" si="6"/>
        <v>-85.781433607520569</v>
      </c>
      <c r="O6" s="8">
        <f t="shared" si="7"/>
        <v>696.969696969697</v>
      </c>
    </row>
    <row r="7" spans="1:16" x14ac:dyDescent="0.25">
      <c r="A7" s="3" t="s">
        <v>114</v>
      </c>
      <c r="B7">
        <v>23</v>
      </c>
      <c r="C7">
        <v>3648</v>
      </c>
      <c r="D7" s="1">
        <f t="shared" si="2"/>
        <v>3671</v>
      </c>
      <c r="E7" s="14">
        <v>33</v>
      </c>
      <c r="F7" s="8">
        <f t="shared" si="3"/>
        <v>696.969696969697</v>
      </c>
      <c r="G7" s="11"/>
      <c r="H7" s="11">
        <v>20</v>
      </c>
      <c r="I7" s="1">
        <v>2048</v>
      </c>
      <c r="J7" s="1">
        <f t="shared" ref="J7:J12" si="8">+H7+I7</f>
        <v>2068</v>
      </c>
      <c r="K7" s="11">
        <v>33</v>
      </c>
      <c r="L7">
        <f t="shared" si="4"/>
        <v>13.043478260869565</v>
      </c>
      <c r="M7">
        <f t="shared" si="5"/>
        <v>43.859649122807014</v>
      </c>
      <c r="N7">
        <f t="shared" si="6"/>
        <v>43.666575864886951</v>
      </c>
      <c r="O7" s="8">
        <f t="shared" si="7"/>
        <v>606.06060606060612</v>
      </c>
      <c r="P7" s="11"/>
    </row>
    <row r="8" spans="1:16" x14ac:dyDescent="0.25">
      <c r="A8" s="3" t="s">
        <v>112</v>
      </c>
      <c r="B8">
        <v>18</v>
      </c>
      <c r="C8" s="1">
        <v>3996</v>
      </c>
      <c r="D8" s="1">
        <f t="shared" si="2"/>
        <v>4014</v>
      </c>
      <c r="E8" s="14">
        <v>33</v>
      </c>
      <c r="F8" s="8">
        <f t="shared" si="3"/>
        <v>545.4545454545455</v>
      </c>
      <c r="G8" s="11"/>
      <c r="H8" s="11">
        <v>19</v>
      </c>
      <c r="I8" s="1">
        <v>5350</v>
      </c>
      <c r="J8" s="1">
        <f t="shared" si="8"/>
        <v>5369</v>
      </c>
      <c r="K8" s="11">
        <v>33</v>
      </c>
      <c r="L8">
        <f t="shared" si="4"/>
        <v>-5.5555555555555554</v>
      </c>
      <c r="M8">
        <f t="shared" si="5"/>
        <v>-33.88388388388389</v>
      </c>
      <c r="N8">
        <f t="shared" si="6"/>
        <v>-33.756851021425014</v>
      </c>
      <c r="O8" s="8">
        <f t="shared" si="7"/>
        <v>575.75757575757575</v>
      </c>
      <c r="P8" s="11"/>
    </row>
    <row r="9" spans="1:16" x14ac:dyDescent="0.25">
      <c r="A9" s="3" t="s">
        <v>118</v>
      </c>
      <c r="B9">
        <v>48</v>
      </c>
      <c r="C9" s="1">
        <v>5787</v>
      </c>
      <c r="D9" s="1">
        <f t="shared" si="2"/>
        <v>5835</v>
      </c>
      <c r="E9" s="14">
        <v>33</v>
      </c>
      <c r="F9" s="8">
        <f t="shared" si="3"/>
        <v>1454.5454545454545</v>
      </c>
      <c r="G9" s="11"/>
      <c r="H9" s="11">
        <v>22</v>
      </c>
      <c r="I9" s="1">
        <v>4470</v>
      </c>
      <c r="J9" s="1">
        <f t="shared" si="8"/>
        <v>4492</v>
      </c>
      <c r="K9" s="11">
        <v>33</v>
      </c>
      <c r="L9">
        <f t="shared" si="4"/>
        <v>54.166666666666664</v>
      </c>
      <c r="M9">
        <f t="shared" si="5"/>
        <v>22.757905650596165</v>
      </c>
      <c r="N9">
        <f t="shared" si="6"/>
        <v>23.016281062553556</v>
      </c>
      <c r="O9" s="8">
        <f t="shared" si="7"/>
        <v>666.66666666666674</v>
      </c>
      <c r="P9" s="11"/>
    </row>
    <row r="10" spans="1:16" x14ac:dyDescent="0.25">
      <c r="A10" s="3" t="s">
        <v>119</v>
      </c>
      <c r="B10">
        <v>25</v>
      </c>
      <c r="C10" s="1">
        <v>4225</v>
      </c>
      <c r="D10" s="1">
        <f t="shared" si="2"/>
        <v>4250</v>
      </c>
      <c r="E10" s="14">
        <v>33</v>
      </c>
      <c r="F10" s="8">
        <f t="shared" si="3"/>
        <v>757.57575757575762</v>
      </c>
      <c r="G10" s="11"/>
      <c r="H10" s="11">
        <v>22</v>
      </c>
      <c r="I10" s="1">
        <v>9906</v>
      </c>
      <c r="J10" s="1">
        <f t="shared" si="8"/>
        <v>9928</v>
      </c>
      <c r="K10" s="11">
        <v>33</v>
      </c>
      <c r="L10">
        <f t="shared" si="4"/>
        <v>12</v>
      </c>
      <c r="M10">
        <f t="shared" si="5"/>
        <v>-134.46153846153845</v>
      </c>
      <c r="N10">
        <f t="shared" si="6"/>
        <v>-133.6</v>
      </c>
      <c r="O10" s="8">
        <f t="shared" si="7"/>
        <v>666.66666666666674</v>
      </c>
      <c r="P10" s="11"/>
    </row>
    <row r="11" spans="1:16" x14ac:dyDescent="0.25">
      <c r="A11" s="3" t="s">
        <v>116</v>
      </c>
      <c r="B11" s="1">
        <v>59</v>
      </c>
      <c r="C11" s="1">
        <v>4222</v>
      </c>
      <c r="D11" s="1">
        <f t="shared" si="2"/>
        <v>4281</v>
      </c>
      <c r="E11" s="14">
        <v>33</v>
      </c>
      <c r="F11" s="8">
        <f t="shared" si="3"/>
        <v>1787.878787878788</v>
      </c>
      <c r="G11" s="11"/>
      <c r="H11" s="16">
        <v>26</v>
      </c>
      <c r="I11" s="1">
        <v>5053</v>
      </c>
      <c r="J11" s="1">
        <f t="shared" si="8"/>
        <v>5079</v>
      </c>
      <c r="K11" s="11">
        <v>33</v>
      </c>
      <c r="L11">
        <f t="shared" si="4"/>
        <v>55.932203389830505</v>
      </c>
      <c r="M11">
        <f t="shared" si="5"/>
        <v>-19.682614874467077</v>
      </c>
      <c r="N11">
        <f t="shared" si="6"/>
        <v>-18.640504555010512</v>
      </c>
      <c r="O11" s="8">
        <f t="shared" si="7"/>
        <v>787.87878787878788</v>
      </c>
      <c r="P11" s="11"/>
    </row>
    <row r="12" spans="1:16" x14ac:dyDescent="0.25">
      <c r="A12" s="3" t="s">
        <v>117</v>
      </c>
      <c r="B12">
        <v>16</v>
      </c>
      <c r="C12" s="1">
        <v>5319</v>
      </c>
      <c r="D12" s="1">
        <f t="shared" si="2"/>
        <v>5335</v>
      </c>
      <c r="E12" s="14">
        <v>33</v>
      </c>
      <c r="F12" s="8">
        <f t="shared" si="3"/>
        <v>484.84848484848487</v>
      </c>
      <c r="G12" s="11"/>
      <c r="H12" s="11">
        <v>29</v>
      </c>
      <c r="I12" s="1">
        <v>6151</v>
      </c>
      <c r="J12" s="1">
        <f t="shared" si="8"/>
        <v>6180</v>
      </c>
      <c r="K12" s="11">
        <v>33</v>
      </c>
      <c r="L12">
        <f t="shared" si="4"/>
        <v>-81.25</v>
      </c>
      <c r="M12">
        <f t="shared" si="5"/>
        <v>-15.642037977063358</v>
      </c>
      <c r="N12">
        <f t="shared" si="6"/>
        <v>-15.838800374882849</v>
      </c>
      <c r="O12" s="8">
        <f t="shared" si="7"/>
        <v>878.78787878787887</v>
      </c>
      <c r="P12" s="11"/>
    </row>
    <row r="13" spans="1:16" x14ac:dyDescent="0.25">
      <c r="F13" t="s">
        <v>234</v>
      </c>
      <c r="G13" t="s">
        <v>235</v>
      </c>
      <c r="O13" t="s">
        <v>234</v>
      </c>
      <c r="P13" t="s">
        <v>235</v>
      </c>
    </row>
    <row r="14" spans="1:16" x14ac:dyDescent="0.25">
      <c r="F14" s="8">
        <f>AVERAGE(F4:F12)</f>
        <v>872.05387205387206</v>
      </c>
      <c r="G14">
        <f>_xlfn.STDEV.S(F4:F12)</f>
        <v>526.56208157488368</v>
      </c>
      <c r="O14" s="8">
        <f>AVERAGE(O4:O12)</f>
        <v>700.33670033670046</v>
      </c>
      <c r="P14">
        <f>_xlfn.STDEV.S(O4:O12)</f>
        <v>251.91846289575597</v>
      </c>
    </row>
    <row r="15" spans="1:16" x14ac:dyDescent="0.25">
      <c r="A15" t="s">
        <v>236</v>
      </c>
    </row>
    <row r="16" spans="1:16" x14ac:dyDescent="0.25">
      <c r="B16" t="s">
        <v>220</v>
      </c>
      <c r="C16" t="s">
        <v>221</v>
      </c>
      <c r="D16" t="s">
        <v>222</v>
      </c>
      <c r="E16" s="8" t="s">
        <v>1</v>
      </c>
      <c r="F16" s="8" t="s">
        <v>233</v>
      </c>
    </row>
    <row r="17" spans="1:6" x14ac:dyDescent="0.25">
      <c r="A17" t="s">
        <v>223</v>
      </c>
      <c r="B17">
        <v>21121</v>
      </c>
      <c r="C17" s="1">
        <v>16939</v>
      </c>
      <c r="D17" s="1">
        <f>+B17+C17</f>
        <v>38060</v>
      </c>
      <c r="E17" s="8">
        <v>33</v>
      </c>
      <c r="F17" s="8">
        <f>(1000/E17)*B17</f>
        <v>640030.3030303031</v>
      </c>
    </row>
    <row r="18" spans="1:6" x14ac:dyDescent="0.25">
      <c r="C18" s="1"/>
      <c r="D18" s="1"/>
      <c r="E18" s="8"/>
      <c r="F18" s="8"/>
    </row>
    <row r="28" spans="1:6" x14ac:dyDescent="0.25">
      <c r="E28" s="1"/>
      <c r="F28" s="1"/>
    </row>
    <row r="29" spans="1:6" x14ac:dyDescent="0.25">
      <c r="E29" s="1"/>
      <c r="F29" s="1"/>
    </row>
    <row r="30" spans="1:6" x14ac:dyDescent="0.25">
      <c r="E30" s="1"/>
      <c r="F30" s="1"/>
    </row>
    <row r="31" spans="1:6" x14ac:dyDescent="0.25">
      <c r="E31" s="1"/>
      <c r="F31" s="1"/>
    </row>
    <row r="32" spans="1:6" x14ac:dyDescent="0.25">
      <c r="E32" s="1"/>
      <c r="F32" s="1"/>
    </row>
    <row r="33" spans="4:6" x14ac:dyDescent="0.25">
      <c r="E33" s="1"/>
      <c r="F33" s="1"/>
    </row>
    <row r="34" spans="4:6" x14ac:dyDescent="0.25">
      <c r="E34" s="1"/>
      <c r="F34" s="1"/>
    </row>
    <row r="35" spans="4:6" x14ac:dyDescent="0.25">
      <c r="D35" s="1"/>
      <c r="E35" s="1"/>
      <c r="F35" s="1"/>
    </row>
    <row r="36" spans="4:6" x14ac:dyDescent="0.25">
      <c r="E36" s="1"/>
      <c r="F36" s="1"/>
    </row>
    <row r="37" spans="4:6" x14ac:dyDescent="0.25">
      <c r="D37" s="1"/>
      <c r="E37" s="1"/>
      <c r="F37" s="1"/>
    </row>
    <row r="38" spans="4:6" x14ac:dyDescent="0.25">
      <c r="E38" s="1"/>
      <c r="F38" s="1"/>
    </row>
    <row r="39" spans="4:6" x14ac:dyDescent="0.25">
      <c r="E39" s="1"/>
      <c r="F39" s="1"/>
    </row>
    <row r="40" spans="4:6" x14ac:dyDescent="0.25">
      <c r="E40" s="1"/>
      <c r="F40" s="1"/>
    </row>
    <row r="41" spans="4:6" x14ac:dyDescent="0.25">
      <c r="E41" s="1"/>
      <c r="F41" s="1"/>
    </row>
    <row r="42" spans="4:6" x14ac:dyDescent="0.25">
      <c r="E42" s="1"/>
      <c r="F42" s="1"/>
    </row>
    <row r="43" spans="4:6" x14ac:dyDescent="0.25">
      <c r="E43" s="1"/>
      <c r="F43" s="1"/>
    </row>
    <row r="44" spans="4:6" x14ac:dyDescent="0.25">
      <c r="E44" s="1"/>
      <c r="F44" s="1"/>
    </row>
    <row r="45" spans="4:6" x14ac:dyDescent="0.25">
      <c r="E45" s="1"/>
      <c r="F45" s="1"/>
    </row>
    <row r="46" spans="4:6" x14ac:dyDescent="0.25">
      <c r="E46" s="1"/>
      <c r="F46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1" workbookViewId="0">
      <selection activeCell="L14" sqref="L14"/>
    </sheetView>
  </sheetViews>
  <sheetFormatPr defaultRowHeight="15" x14ac:dyDescent="0.25"/>
  <cols>
    <col min="1" max="1" width="18.85546875" customWidth="1"/>
    <col min="2" max="3" width="14" customWidth="1"/>
    <col min="4" max="4" width="15.7109375" customWidth="1"/>
    <col min="6" max="6" width="10.5703125" bestFit="1" customWidth="1"/>
    <col min="7" max="7" width="9.5703125" customWidth="1"/>
  </cols>
  <sheetData>
    <row r="1" spans="1:16" x14ac:dyDescent="0.25">
      <c r="A1" s="3"/>
      <c r="B1" t="s">
        <v>4</v>
      </c>
      <c r="E1" s="8"/>
      <c r="F1" s="8"/>
      <c r="H1" t="s">
        <v>4</v>
      </c>
      <c r="N1" s="2"/>
    </row>
    <row r="2" spans="1:16" x14ac:dyDescent="0.25">
      <c r="A2" s="3"/>
      <c r="B2" t="s">
        <v>5</v>
      </c>
      <c r="E2" s="8"/>
      <c r="F2" s="8"/>
      <c r="H2" t="s">
        <v>5</v>
      </c>
      <c r="N2" t="s">
        <v>226</v>
      </c>
    </row>
    <row r="3" spans="1:16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H3" t="s">
        <v>220</v>
      </c>
      <c r="I3" t="s">
        <v>221</v>
      </c>
      <c r="J3" t="s">
        <v>222</v>
      </c>
      <c r="K3" s="8" t="s">
        <v>1</v>
      </c>
      <c r="L3" t="s">
        <v>224</v>
      </c>
      <c r="M3" t="s">
        <v>225</v>
      </c>
      <c r="N3" s="5"/>
      <c r="O3" s="8" t="s">
        <v>233</v>
      </c>
    </row>
    <row r="4" spans="1:16" x14ac:dyDescent="0.25">
      <c r="A4" s="3" t="s">
        <v>120</v>
      </c>
      <c r="B4">
        <v>38</v>
      </c>
      <c r="C4" s="1">
        <v>3642</v>
      </c>
      <c r="D4" s="1">
        <f>+B4+C4</f>
        <v>3680</v>
      </c>
      <c r="E4" s="8">
        <v>33</v>
      </c>
      <c r="F4" s="8">
        <f>(1000/E4)*B4</f>
        <v>1151.5151515151515</v>
      </c>
      <c r="H4">
        <v>33</v>
      </c>
      <c r="I4" s="1">
        <v>2675</v>
      </c>
      <c r="J4" s="1">
        <f t="shared" ref="J4:J5" si="0">+H4+I4</f>
        <v>2708</v>
      </c>
      <c r="K4">
        <v>33</v>
      </c>
      <c r="L4">
        <f>+(B4-H4)/B4*100</f>
        <v>13.157894736842104</v>
      </c>
      <c r="M4">
        <f>+(C4-I4)/C4*100</f>
        <v>26.551345414607358</v>
      </c>
      <c r="N4">
        <f>+(D4-J4)/D4*100</f>
        <v>26.413043478260867</v>
      </c>
      <c r="O4" s="8">
        <f>(1000/K4)*H4</f>
        <v>1000</v>
      </c>
    </row>
    <row r="5" spans="1:16" x14ac:dyDescent="0.25">
      <c r="A5" s="3" t="s">
        <v>113</v>
      </c>
      <c r="B5">
        <v>37</v>
      </c>
      <c r="C5" s="1">
        <v>3151</v>
      </c>
      <c r="D5" s="1">
        <f t="shared" ref="D5:D12" si="1">+B5+C5</f>
        <v>3188</v>
      </c>
      <c r="E5" s="8">
        <v>33</v>
      </c>
      <c r="F5" s="8">
        <f t="shared" ref="F5:F12" si="2">(1000/E5)*B5</f>
        <v>1121.2121212121212</v>
      </c>
      <c r="H5">
        <v>16</v>
      </c>
      <c r="I5" s="1">
        <v>2890</v>
      </c>
      <c r="J5" s="1">
        <f t="shared" si="0"/>
        <v>2906</v>
      </c>
      <c r="K5">
        <v>33</v>
      </c>
      <c r="L5">
        <f t="shared" ref="L5:L12" si="3">+(B5-H5)/B5*100</f>
        <v>56.756756756756758</v>
      </c>
      <c r="M5">
        <f t="shared" ref="M5:M12" si="4">+(C5-I5)/C5*100</f>
        <v>8.2830847350047598</v>
      </c>
      <c r="N5">
        <f t="shared" ref="N5:N12" si="5">+(D5-J5)/D5*100</f>
        <v>8.8456712672521967</v>
      </c>
      <c r="O5" s="8">
        <f t="shared" ref="O5:O12" si="6">(1000/K5)*H5</f>
        <v>484.84848484848487</v>
      </c>
    </row>
    <row r="6" spans="1:16" x14ac:dyDescent="0.25">
      <c r="A6" s="3" t="s">
        <v>115</v>
      </c>
      <c r="B6">
        <v>19</v>
      </c>
      <c r="C6">
        <v>5118</v>
      </c>
      <c r="D6" s="1">
        <f>+B6+C6</f>
        <v>5137</v>
      </c>
      <c r="E6" s="8">
        <v>33</v>
      </c>
      <c r="F6" s="8">
        <f t="shared" si="2"/>
        <v>575.75757575757575</v>
      </c>
      <c r="H6">
        <v>31</v>
      </c>
      <c r="I6" s="1">
        <v>3511</v>
      </c>
      <c r="J6" s="1">
        <f>+H6+I6</f>
        <v>3542</v>
      </c>
      <c r="K6">
        <v>33</v>
      </c>
      <c r="L6">
        <f t="shared" si="3"/>
        <v>-63.157894736842103</v>
      </c>
      <c r="M6">
        <f t="shared" si="4"/>
        <v>31.398983978116451</v>
      </c>
      <c r="N6">
        <f t="shared" si="5"/>
        <v>31.049250535331907</v>
      </c>
      <c r="O6" s="8">
        <f t="shared" si="6"/>
        <v>939.39393939393949</v>
      </c>
    </row>
    <row r="7" spans="1:16" x14ac:dyDescent="0.25">
      <c r="A7" s="3" t="s">
        <v>114</v>
      </c>
      <c r="B7">
        <v>23</v>
      </c>
      <c r="C7">
        <v>6820</v>
      </c>
      <c r="D7" s="1">
        <f t="shared" si="1"/>
        <v>6843</v>
      </c>
      <c r="E7" s="14">
        <v>33</v>
      </c>
      <c r="F7" s="8">
        <f t="shared" si="2"/>
        <v>696.969696969697</v>
      </c>
      <c r="G7" s="11"/>
      <c r="H7" s="11">
        <v>32</v>
      </c>
      <c r="I7" s="1">
        <v>5591</v>
      </c>
      <c r="J7" s="1">
        <f t="shared" ref="J7:J12" si="7">+H7+I7</f>
        <v>5623</v>
      </c>
      <c r="K7" s="11">
        <v>33</v>
      </c>
      <c r="L7">
        <f t="shared" si="3"/>
        <v>-39.130434782608695</v>
      </c>
      <c r="M7">
        <f t="shared" si="4"/>
        <v>18.020527859237536</v>
      </c>
      <c r="N7">
        <f t="shared" si="5"/>
        <v>17.828437819669734</v>
      </c>
      <c r="O7" s="8">
        <f t="shared" si="6"/>
        <v>969.69696969696975</v>
      </c>
      <c r="P7" s="11"/>
    </row>
    <row r="8" spans="1:16" x14ac:dyDescent="0.25">
      <c r="A8" s="3" t="s">
        <v>112</v>
      </c>
      <c r="B8">
        <v>21</v>
      </c>
      <c r="C8" s="1">
        <v>5405</v>
      </c>
      <c r="D8" s="1">
        <f t="shared" si="1"/>
        <v>5426</v>
      </c>
      <c r="E8" s="14">
        <v>33</v>
      </c>
      <c r="F8" s="8">
        <f t="shared" si="2"/>
        <v>636.36363636363637</v>
      </c>
      <c r="G8" s="11"/>
      <c r="H8" s="11">
        <v>21</v>
      </c>
      <c r="I8" s="1">
        <v>4324</v>
      </c>
      <c r="J8" s="1">
        <f t="shared" si="7"/>
        <v>4345</v>
      </c>
      <c r="K8" s="11">
        <v>33</v>
      </c>
      <c r="L8">
        <f t="shared" si="3"/>
        <v>0</v>
      </c>
      <c r="M8">
        <f t="shared" si="4"/>
        <v>20</v>
      </c>
      <c r="N8">
        <f t="shared" si="5"/>
        <v>19.922594913380024</v>
      </c>
      <c r="O8" s="8">
        <f t="shared" si="6"/>
        <v>636.36363636363637</v>
      </c>
      <c r="P8" s="11"/>
    </row>
    <row r="9" spans="1:16" x14ac:dyDescent="0.25">
      <c r="A9" s="3" t="s">
        <v>118</v>
      </c>
      <c r="B9">
        <v>38</v>
      </c>
      <c r="C9" s="1">
        <v>4377</v>
      </c>
      <c r="D9" s="1">
        <f t="shared" si="1"/>
        <v>4415</v>
      </c>
      <c r="E9" s="14">
        <v>33</v>
      </c>
      <c r="F9" s="8">
        <f t="shared" si="2"/>
        <v>1151.5151515151515</v>
      </c>
      <c r="G9" s="11"/>
      <c r="H9" s="11">
        <v>29</v>
      </c>
      <c r="I9" s="1">
        <v>4186</v>
      </c>
      <c r="J9" s="1">
        <f t="shared" si="7"/>
        <v>4215</v>
      </c>
      <c r="K9" s="11">
        <v>33</v>
      </c>
      <c r="L9">
        <f t="shared" si="3"/>
        <v>23.684210526315788</v>
      </c>
      <c r="M9">
        <f t="shared" si="4"/>
        <v>4.3637194425405523</v>
      </c>
      <c r="N9">
        <f t="shared" si="5"/>
        <v>4.5300113250283127</v>
      </c>
      <c r="O9" s="8">
        <f t="shared" si="6"/>
        <v>878.78787878787887</v>
      </c>
      <c r="P9" s="11"/>
    </row>
    <row r="10" spans="1:16" x14ac:dyDescent="0.25">
      <c r="A10" s="3" t="s">
        <v>119</v>
      </c>
      <c r="B10">
        <v>15</v>
      </c>
      <c r="C10" s="1">
        <v>5480</v>
      </c>
      <c r="D10" s="1">
        <f t="shared" si="1"/>
        <v>5495</v>
      </c>
      <c r="E10" s="14">
        <v>33</v>
      </c>
      <c r="F10" s="8">
        <f t="shared" si="2"/>
        <v>454.54545454545456</v>
      </c>
      <c r="G10" s="11"/>
      <c r="H10" s="11">
        <v>26</v>
      </c>
      <c r="I10" s="1">
        <v>3895</v>
      </c>
      <c r="J10" s="1">
        <f t="shared" si="7"/>
        <v>3921</v>
      </c>
      <c r="K10" s="11">
        <v>33</v>
      </c>
      <c r="L10">
        <f t="shared" si="3"/>
        <v>-73.333333333333329</v>
      </c>
      <c r="M10">
        <f t="shared" si="4"/>
        <v>28.923357664233578</v>
      </c>
      <c r="N10">
        <f t="shared" si="5"/>
        <v>28.644222020018201</v>
      </c>
      <c r="O10" s="8">
        <f t="shared" si="6"/>
        <v>787.87878787878788</v>
      </c>
      <c r="P10" s="11"/>
    </row>
    <row r="11" spans="1:16" x14ac:dyDescent="0.25">
      <c r="A11" s="3" t="s">
        <v>116</v>
      </c>
      <c r="B11" s="1">
        <v>37</v>
      </c>
      <c r="C11" s="1">
        <v>3166</v>
      </c>
      <c r="D11" s="1">
        <f t="shared" si="1"/>
        <v>3203</v>
      </c>
      <c r="E11" s="14">
        <v>33</v>
      </c>
      <c r="F11" s="8">
        <f t="shared" si="2"/>
        <v>1121.2121212121212</v>
      </c>
      <c r="G11" s="11"/>
      <c r="H11" s="16">
        <v>4</v>
      </c>
      <c r="I11" s="1">
        <v>2390</v>
      </c>
      <c r="J11" s="1">
        <f t="shared" si="7"/>
        <v>2394</v>
      </c>
      <c r="K11" s="11">
        <v>33</v>
      </c>
      <c r="L11">
        <f t="shared" si="3"/>
        <v>89.189189189189193</v>
      </c>
      <c r="M11">
        <f t="shared" si="4"/>
        <v>24.51042324699937</v>
      </c>
      <c r="N11">
        <f t="shared" si="5"/>
        <v>25.257571027162033</v>
      </c>
      <c r="O11" s="8">
        <f t="shared" si="6"/>
        <v>121.21212121212122</v>
      </c>
      <c r="P11" s="11"/>
    </row>
    <row r="12" spans="1:16" x14ac:dyDescent="0.25">
      <c r="A12" s="3" t="s">
        <v>117</v>
      </c>
      <c r="B12">
        <v>16</v>
      </c>
      <c r="C12" s="1">
        <v>5848</v>
      </c>
      <c r="D12" s="1">
        <f t="shared" si="1"/>
        <v>5864</v>
      </c>
      <c r="E12" s="14">
        <v>33</v>
      </c>
      <c r="F12" s="8">
        <f t="shared" si="2"/>
        <v>484.84848484848487</v>
      </c>
      <c r="G12" s="11"/>
      <c r="H12" s="11">
        <v>27</v>
      </c>
      <c r="I12" s="1">
        <v>4719</v>
      </c>
      <c r="J12" s="1">
        <f t="shared" si="7"/>
        <v>4746</v>
      </c>
      <c r="K12" s="11">
        <v>33</v>
      </c>
      <c r="L12">
        <f t="shared" si="3"/>
        <v>-68.75</v>
      </c>
      <c r="M12">
        <f t="shared" si="4"/>
        <v>19.305745554035568</v>
      </c>
      <c r="N12">
        <f t="shared" si="5"/>
        <v>19.065484311050476</v>
      </c>
      <c r="O12" s="8">
        <f t="shared" si="6"/>
        <v>818.18181818181824</v>
      </c>
      <c r="P12" s="11"/>
    </row>
    <row r="13" spans="1:16" x14ac:dyDescent="0.25">
      <c r="F13" t="s">
        <v>234</v>
      </c>
      <c r="G13" t="s">
        <v>235</v>
      </c>
      <c r="O13" t="s">
        <v>234</v>
      </c>
      <c r="P13" t="s">
        <v>235</v>
      </c>
    </row>
    <row r="14" spans="1:16" x14ac:dyDescent="0.25">
      <c r="F14" s="8">
        <f>AVERAGE(F4:F12)</f>
        <v>821.54882154882171</v>
      </c>
      <c r="G14">
        <f>_xlfn.STDEV.S(F4:F12)</f>
        <v>307.33474825497746</v>
      </c>
      <c r="O14" s="8">
        <f>AVERAGE(O4:O12)</f>
        <v>737.3737373737373</v>
      </c>
      <c r="P14">
        <f>_xlfn.STDEV.S(O4:O12)</f>
        <v>284.26762180748085</v>
      </c>
    </row>
    <row r="15" spans="1:16" x14ac:dyDescent="0.25">
      <c r="A15" t="s">
        <v>236</v>
      </c>
    </row>
    <row r="16" spans="1:16" x14ac:dyDescent="0.25">
      <c r="B16" t="s">
        <v>220</v>
      </c>
      <c r="C16" t="s">
        <v>221</v>
      </c>
      <c r="D16" t="s">
        <v>222</v>
      </c>
      <c r="E16" s="8" t="s">
        <v>1</v>
      </c>
      <c r="F16" s="8" t="s">
        <v>233</v>
      </c>
    </row>
    <row r="17" spans="1:6" x14ac:dyDescent="0.25">
      <c r="A17" t="s">
        <v>223</v>
      </c>
      <c r="B17">
        <v>15907</v>
      </c>
      <c r="C17" s="1">
        <v>50760</v>
      </c>
      <c r="D17" s="1">
        <f>+B17+C17</f>
        <v>66667</v>
      </c>
      <c r="E17" s="8">
        <v>33</v>
      </c>
      <c r="F17" s="8">
        <f>(1000/E17)*B17</f>
        <v>482030.30303030304</v>
      </c>
    </row>
    <row r="18" spans="1:6" x14ac:dyDescent="0.25">
      <c r="C18" s="1"/>
      <c r="D18" s="1"/>
      <c r="E18" s="8"/>
      <c r="F18" s="8"/>
    </row>
    <row r="28" spans="1:6" x14ac:dyDescent="0.25">
      <c r="E28" s="1"/>
      <c r="F28" s="1"/>
    </row>
    <row r="29" spans="1:6" x14ac:dyDescent="0.25">
      <c r="E29" s="1"/>
      <c r="F29" s="1"/>
    </row>
    <row r="30" spans="1:6" x14ac:dyDescent="0.25">
      <c r="E30" s="1"/>
      <c r="F30" s="1"/>
    </row>
    <row r="31" spans="1:6" x14ac:dyDescent="0.25">
      <c r="E31" s="1"/>
      <c r="F31" s="1"/>
    </row>
    <row r="32" spans="1:6" x14ac:dyDescent="0.25">
      <c r="E32" s="1"/>
      <c r="F32" s="1"/>
    </row>
    <row r="33" spans="4:6" x14ac:dyDescent="0.25">
      <c r="E33" s="1"/>
      <c r="F33" s="1"/>
    </row>
    <row r="34" spans="4:6" x14ac:dyDescent="0.25">
      <c r="E34" s="1"/>
      <c r="F34" s="1"/>
    </row>
    <row r="35" spans="4:6" x14ac:dyDescent="0.25">
      <c r="D35" s="1"/>
      <c r="E35" s="1"/>
      <c r="F35" s="1"/>
    </row>
    <row r="36" spans="4:6" x14ac:dyDescent="0.25">
      <c r="E36" s="1"/>
      <c r="F36" s="1"/>
    </row>
    <row r="37" spans="4:6" x14ac:dyDescent="0.25">
      <c r="D37" s="1"/>
      <c r="E37" s="1"/>
      <c r="F37" s="1"/>
    </row>
    <row r="38" spans="4:6" x14ac:dyDescent="0.25">
      <c r="E38" s="1"/>
      <c r="F38" s="1"/>
    </row>
    <row r="39" spans="4:6" x14ac:dyDescent="0.25">
      <c r="E39" s="1"/>
      <c r="F39" s="1"/>
    </row>
    <row r="40" spans="4:6" x14ac:dyDescent="0.25">
      <c r="E40" s="1"/>
      <c r="F40" s="1"/>
    </row>
    <row r="41" spans="4:6" x14ac:dyDescent="0.25">
      <c r="E41" s="1"/>
      <c r="F41" s="1"/>
    </row>
    <row r="42" spans="4:6" x14ac:dyDescent="0.25">
      <c r="E42" s="1"/>
      <c r="F42" s="1"/>
    </row>
    <row r="43" spans="4:6" x14ac:dyDescent="0.25">
      <c r="E43" s="1"/>
      <c r="F43" s="1"/>
    </row>
    <row r="44" spans="4:6" x14ac:dyDescent="0.25">
      <c r="E44" s="1"/>
      <c r="F44" s="1"/>
    </row>
    <row r="45" spans="4:6" x14ac:dyDescent="0.25">
      <c r="E45" s="1"/>
      <c r="F45" s="1"/>
    </row>
    <row r="46" spans="4:6" x14ac:dyDescent="0.25">
      <c r="E46" s="1"/>
      <c r="F46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1" workbookViewId="0">
      <selection activeCell="F15" sqref="F15"/>
    </sheetView>
  </sheetViews>
  <sheetFormatPr defaultRowHeight="15" x14ac:dyDescent="0.25"/>
  <cols>
    <col min="1" max="1" width="18.85546875" customWidth="1"/>
    <col min="2" max="3" width="14" customWidth="1"/>
    <col min="4" max="4" width="15.7109375" customWidth="1"/>
    <col min="6" max="6" width="10.5703125" bestFit="1" customWidth="1"/>
    <col min="7" max="7" width="9.5703125" customWidth="1"/>
  </cols>
  <sheetData>
    <row r="1" spans="1:16" x14ac:dyDescent="0.25">
      <c r="A1" s="3"/>
      <c r="B1" t="s">
        <v>4</v>
      </c>
      <c r="E1" s="8"/>
      <c r="F1" s="8"/>
      <c r="H1" t="s">
        <v>4</v>
      </c>
      <c r="N1" s="2"/>
    </row>
    <row r="2" spans="1:16" x14ac:dyDescent="0.25">
      <c r="A2" s="3"/>
      <c r="B2" t="s">
        <v>5</v>
      </c>
      <c r="E2" s="8"/>
      <c r="F2" s="8"/>
      <c r="H2" t="s">
        <v>5</v>
      </c>
      <c r="N2" t="s">
        <v>226</v>
      </c>
    </row>
    <row r="3" spans="1:16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H3" t="s">
        <v>220</v>
      </c>
      <c r="I3" t="s">
        <v>221</v>
      </c>
      <c r="J3" t="s">
        <v>222</v>
      </c>
      <c r="K3" s="8" t="s">
        <v>1</v>
      </c>
      <c r="L3" t="s">
        <v>224</v>
      </c>
      <c r="M3" t="s">
        <v>225</v>
      </c>
      <c r="N3" s="5"/>
      <c r="O3" s="8" t="s">
        <v>233</v>
      </c>
    </row>
    <row r="4" spans="1:16" x14ac:dyDescent="0.25">
      <c r="A4" s="3" t="s">
        <v>120</v>
      </c>
      <c r="B4">
        <v>17</v>
      </c>
      <c r="C4" s="1">
        <v>1135</v>
      </c>
      <c r="D4" s="1">
        <f>+B4+C4</f>
        <v>1152</v>
      </c>
      <c r="E4" s="8">
        <v>33</v>
      </c>
      <c r="F4" s="8">
        <f>(1000/E4)*B4</f>
        <v>515.15151515151513</v>
      </c>
      <c r="H4">
        <v>27</v>
      </c>
      <c r="I4" s="1">
        <v>1768</v>
      </c>
      <c r="J4" s="1">
        <f t="shared" ref="J4:J5" si="0">+H4+I4</f>
        <v>1795</v>
      </c>
      <c r="K4">
        <v>33</v>
      </c>
      <c r="L4">
        <f>+(B4-H4)/B4*100</f>
        <v>-58.82352941176471</v>
      </c>
      <c r="M4">
        <f>+(C4-I4)/C4*100</f>
        <v>-55.770925110132161</v>
      </c>
      <c r="N4">
        <f>+(D4-J4)/D4*100</f>
        <v>-55.815972222222221</v>
      </c>
      <c r="O4" s="8">
        <f>(1000/K4)*H4</f>
        <v>818.18181818181824</v>
      </c>
    </row>
    <row r="5" spans="1:16" x14ac:dyDescent="0.25">
      <c r="A5" s="3" t="s">
        <v>113</v>
      </c>
      <c r="B5">
        <v>16</v>
      </c>
      <c r="C5" s="1">
        <v>2417</v>
      </c>
      <c r="D5" s="1">
        <f t="shared" ref="D5:D12" si="1">+B5+C5</f>
        <v>2433</v>
      </c>
      <c r="E5" s="8">
        <v>33</v>
      </c>
      <c r="F5" s="8">
        <f t="shared" ref="F5:F12" si="2">(1000/E5)*B5</f>
        <v>484.84848484848487</v>
      </c>
      <c r="H5">
        <v>25</v>
      </c>
      <c r="I5" s="1">
        <v>24450</v>
      </c>
      <c r="J5" s="1">
        <f t="shared" si="0"/>
        <v>24475</v>
      </c>
      <c r="K5">
        <v>33</v>
      </c>
      <c r="L5">
        <f t="shared" ref="L5:N12" si="3">+(B5-H5)/B5*100</f>
        <v>-56.25</v>
      </c>
      <c r="M5">
        <f t="shared" si="3"/>
        <v>-911.58460901944557</v>
      </c>
      <c r="N5">
        <f t="shared" si="3"/>
        <v>-905.95972050965884</v>
      </c>
      <c r="O5" s="8">
        <f t="shared" ref="O5:O12" si="4">(1000/K5)*H5</f>
        <v>757.57575757575762</v>
      </c>
    </row>
    <row r="6" spans="1:16" x14ac:dyDescent="0.25">
      <c r="A6" s="3" t="s">
        <v>115</v>
      </c>
      <c r="B6">
        <v>86</v>
      </c>
      <c r="C6">
        <v>4749</v>
      </c>
      <c r="D6" s="1">
        <f>+B6+C6</f>
        <v>4835</v>
      </c>
      <c r="E6" s="8">
        <v>33</v>
      </c>
      <c r="F6" s="8">
        <f t="shared" si="2"/>
        <v>2606.060606060606</v>
      </c>
      <c r="H6">
        <v>35</v>
      </c>
      <c r="I6" s="1">
        <v>18988</v>
      </c>
      <c r="J6" s="1">
        <f>+H6+I6</f>
        <v>19023</v>
      </c>
      <c r="K6">
        <v>33</v>
      </c>
      <c r="L6">
        <f t="shared" si="3"/>
        <v>59.302325581395351</v>
      </c>
      <c r="M6">
        <f t="shared" si="3"/>
        <v>-299.83154348283853</v>
      </c>
      <c r="N6">
        <f t="shared" si="3"/>
        <v>-293.44364012409517</v>
      </c>
      <c r="O6" s="8">
        <f t="shared" si="4"/>
        <v>1060.6060606060607</v>
      </c>
    </row>
    <row r="7" spans="1:16" x14ac:dyDescent="0.25">
      <c r="A7" s="3" t="s">
        <v>114</v>
      </c>
      <c r="B7">
        <v>14</v>
      </c>
      <c r="C7">
        <v>830</v>
      </c>
      <c r="D7" s="1">
        <f t="shared" si="1"/>
        <v>844</v>
      </c>
      <c r="E7" s="14">
        <v>33</v>
      </c>
      <c r="F7" s="8">
        <f t="shared" si="2"/>
        <v>424.24242424242425</v>
      </c>
      <c r="G7" s="11"/>
      <c r="H7" s="11">
        <v>25</v>
      </c>
      <c r="I7" s="1">
        <v>16145</v>
      </c>
      <c r="J7" s="1">
        <f t="shared" ref="J7:J12" si="5">+H7+I7</f>
        <v>16170</v>
      </c>
      <c r="K7" s="11">
        <v>33</v>
      </c>
      <c r="L7">
        <f t="shared" si="3"/>
        <v>-78.571428571428569</v>
      </c>
      <c r="M7">
        <f t="shared" si="3"/>
        <v>-1845.1807228915661</v>
      </c>
      <c r="N7">
        <f t="shared" si="3"/>
        <v>-1815.8767772511846</v>
      </c>
      <c r="O7" s="8">
        <f t="shared" si="4"/>
        <v>757.57575757575762</v>
      </c>
      <c r="P7" s="11"/>
    </row>
    <row r="8" spans="1:16" x14ac:dyDescent="0.25">
      <c r="A8" s="3" t="s">
        <v>112</v>
      </c>
      <c r="B8">
        <v>22</v>
      </c>
      <c r="C8" s="1">
        <v>4513</v>
      </c>
      <c r="D8" s="1">
        <f t="shared" si="1"/>
        <v>4535</v>
      </c>
      <c r="E8" s="14">
        <v>33</v>
      </c>
      <c r="F8" s="8">
        <f t="shared" si="2"/>
        <v>666.66666666666674</v>
      </c>
      <c r="G8" s="11"/>
      <c r="H8" s="11">
        <v>21</v>
      </c>
      <c r="I8" s="1">
        <v>6350</v>
      </c>
      <c r="J8" s="1">
        <f t="shared" si="5"/>
        <v>6371</v>
      </c>
      <c r="K8" s="11">
        <v>33</v>
      </c>
      <c r="L8">
        <f t="shared" si="3"/>
        <v>4.5454545454545459</v>
      </c>
      <c r="M8">
        <f t="shared" si="3"/>
        <v>-40.704631065809885</v>
      </c>
      <c r="N8">
        <f t="shared" si="3"/>
        <v>-40.485115766262403</v>
      </c>
      <c r="O8" s="8">
        <f t="shared" si="4"/>
        <v>636.36363636363637</v>
      </c>
      <c r="P8" s="11"/>
    </row>
    <row r="9" spans="1:16" x14ac:dyDescent="0.25">
      <c r="A9" s="3" t="s">
        <v>118</v>
      </c>
      <c r="B9">
        <v>36</v>
      </c>
      <c r="C9" s="1">
        <v>3945</v>
      </c>
      <c r="D9" s="1">
        <f t="shared" si="1"/>
        <v>3981</v>
      </c>
      <c r="E9" s="14">
        <v>33</v>
      </c>
      <c r="F9" s="8">
        <f t="shared" si="2"/>
        <v>1090.909090909091</v>
      </c>
      <c r="G9" s="11"/>
      <c r="H9" s="11">
        <v>16</v>
      </c>
      <c r="I9" s="1">
        <v>2803</v>
      </c>
      <c r="J9" s="1">
        <f t="shared" si="5"/>
        <v>2819</v>
      </c>
      <c r="K9" s="11">
        <v>33</v>
      </c>
      <c r="L9">
        <f t="shared" si="3"/>
        <v>55.555555555555557</v>
      </c>
      <c r="M9">
        <f t="shared" si="3"/>
        <v>28.948035487959444</v>
      </c>
      <c r="N9">
        <f t="shared" si="3"/>
        <v>29.18864606882693</v>
      </c>
      <c r="O9" s="8">
        <f t="shared" si="4"/>
        <v>484.84848484848487</v>
      </c>
      <c r="P9" s="11"/>
    </row>
    <row r="10" spans="1:16" x14ac:dyDescent="0.25">
      <c r="A10" s="3" t="s">
        <v>119</v>
      </c>
      <c r="B10">
        <v>56</v>
      </c>
      <c r="C10" s="1">
        <v>1344</v>
      </c>
      <c r="D10" s="1">
        <f t="shared" si="1"/>
        <v>1400</v>
      </c>
      <c r="E10" s="14">
        <v>33</v>
      </c>
      <c r="F10" s="8">
        <f t="shared" si="2"/>
        <v>1696.969696969697</v>
      </c>
      <c r="G10" s="11"/>
      <c r="H10" s="11">
        <v>20</v>
      </c>
      <c r="I10" s="1">
        <v>6818</v>
      </c>
      <c r="J10" s="1">
        <f t="shared" si="5"/>
        <v>6838</v>
      </c>
      <c r="K10" s="11">
        <v>33</v>
      </c>
      <c r="L10">
        <f t="shared" si="3"/>
        <v>64.285714285714292</v>
      </c>
      <c r="M10">
        <f t="shared" si="3"/>
        <v>-407.29166666666669</v>
      </c>
      <c r="N10">
        <f t="shared" si="3"/>
        <v>-388.42857142857144</v>
      </c>
      <c r="O10" s="8">
        <f t="shared" si="4"/>
        <v>606.06060606060612</v>
      </c>
      <c r="P10" s="11"/>
    </row>
    <row r="11" spans="1:16" x14ac:dyDescent="0.25">
      <c r="A11" s="3" t="s">
        <v>116</v>
      </c>
      <c r="B11" s="1">
        <v>69</v>
      </c>
      <c r="C11" s="1">
        <v>1743</v>
      </c>
      <c r="D11" s="1">
        <f t="shared" si="1"/>
        <v>1812</v>
      </c>
      <c r="E11" s="14">
        <v>33</v>
      </c>
      <c r="F11" s="8">
        <f t="shared" si="2"/>
        <v>2090.909090909091</v>
      </c>
      <c r="G11" s="11"/>
      <c r="H11" s="16">
        <v>26</v>
      </c>
      <c r="I11" s="1">
        <v>2945</v>
      </c>
      <c r="J11" s="1">
        <f t="shared" si="5"/>
        <v>2971</v>
      </c>
      <c r="K11" s="11">
        <v>33</v>
      </c>
      <c r="L11">
        <f t="shared" si="3"/>
        <v>62.318840579710141</v>
      </c>
      <c r="M11">
        <f t="shared" si="3"/>
        <v>-68.961560527825583</v>
      </c>
      <c r="N11">
        <f t="shared" si="3"/>
        <v>-63.962472406181014</v>
      </c>
      <c r="O11" s="8">
        <f t="shared" si="4"/>
        <v>787.87878787878788</v>
      </c>
      <c r="P11" s="11"/>
    </row>
    <row r="12" spans="1:16" x14ac:dyDescent="0.25">
      <c r="A12" s="3" t="s">
        <v>117</v>
      </c>
      <c r="B12">
        <v>49</v>
      </c>
      <c r="C12" s="1">
        <v>1371</v>
      </c>
      <c r="D12" s="1">
        <f t="shared" si="1"/>
        <v>1420</v>
      </c>
      <c r="E12" s="14">
        <v>33</v>
      </c>
      <c r="F12" s="8">
        <f t="shared" si="2"/>
        <v>1484.848484848485</v>
      </c>
      <c r="G12" s="11"/>
      <c r="H12" s="11">
        <v>45</v>
      </c>
      <c r="I12" s="1">
        <v>2993</v>
      </c>
      <c r="J12" s="1">
        <f t="shared" si="5"/>
        <v>3038</v>
      </c>
      <c r="K12" s="11">
        <v>33</v>
      </c>
      <c r="L12">
        <f t="shared" si="3"/>
        <v>8.1632653061224492</v>
      </c>
      <c r="M12">
        <f t="shared" si="3"/>
        <v>-118.30780452224654</v>
      </c>
      <c r="N12">
        <f t="shared" si="3"/>
        <v>-113.94366197183099</v>
      </c>
      <c r="O12" s="8">
        <f t="shared" si="4"/>
        <v>1363.6363636363637</v>
      </c>
      <c r="P12" s="11"/>
    </row>
    <row r="13" spans="1:16" x14ac:dyDescent="0.25">
      <c r="F13" t="s">
        <v>234</v>
      </c>
      <c r="G13" t="s">
        <v>235</v>
      </c>
      <c r="O13" t="s">
        <v>234</v>
      </c>
      <c r="P13" t="s">
        <v>235</v>
      </c>
    </row>
    <row r="14" spans="1:16" x14ac:dyDescent="0.25">
      <c r="F14" s="8">
        <f>AVERAGE(F4:F12)</f>
        <v>1228.9562289562289</v>
      </c>
      <c r="G14">
        <f>_xlfn.STDEV.S(F4:F12)</f>
        <v>788.18629067840743</v>
      </c>
      <c r="O14" s="8">
        <f>AVERAGE(O4:O12)</f>
        <v>808.0808080808082</v>
      </c>
      <c r="P14">
        <f>_xlfn.STDEV.S(O4:O12)</f>
        <v>262.8689632257192</v>
      </c>
    </row>
    <row r="15" spans="1:16" x14ac:dyDescent="0.25">
      <c r="A15" t="s">
        <v>236</v>
      </c>
    </row>
    <row r="16" spans="1:16" x14ac:dyDescent="0.25">
      <c r="B16" t="s">
        <v>220</v>
      </c>
      <c r="C16" t="s">
        <v>221</v>
      </c>
      <c r="D16" t="s">
        <v>222</v>
      </c>
      <c r="E16" s="8" t="s">
        <v>1</v>
      </c>
      <c r="F16" s="8" t="s">
        <v>233</v>
      </c>
    </row>
    <row r="17" spans="1:6" x14ac:dyDescent="0.25">
      <c r="A17" t="s">
        <v>223</v>
      </c>
      <c r="B17">
        <v>18064</v>
      </c>
      <c r="C17" s="1">
        <v>25507</v>
      </c>
      <c r="D17" s="1">
        <f>+B17+C17</f>
        <v>43571</v>
      </c>
      <c r="E17" s="8">
        <v>33</v>
      </c>
      <c r="F17" s="8">
        <f>(1000/E17)*B17</f>
        <v>547393.93939393945</v>
      </c>
    </row>
    <row r="18" spans="1:6" x14ac:dyDescent="0.25">
      <c r="D18" s="1"/>
      <c r="E18" s="8"/>
      <c r="F18" s="8"/>
    </row>
    <row r="28" spans="1:6" x14ac:dyDescent="0.25">
      <c r="E28" s="1"/>
      <c r="F28" s="1"/>
    </row>
    <row r="29" spans="1:6" x14ac:dyDescent="0.25">
      <c r="E29" s="1"/>
      <c r="F29" s="1"/>
    </row>
    <row r="30" spans="1:6" x14ac:dyDescent="0.25">
      <c r="E30" s="1"/>
      <c r="F30" s="1"/>
    </row>
    <row r="31" spans="1:6" x14ac:dyDescent="0.25">
      <c r="E31" s="1"/>
      <c r="F31" s="1"/>
    </row>
    <row r="32" spans="1:6" x14ac:dyDescent="0.25">
      <c r="E32" s="1"/>
      <c r="F32" s="1"/>
    </row>
    <row r="33" spans="4:6" x14ac:dyDescent="0.25">
      <c r="E33" s="1"/>
      <c r="F33" s="1"/>
    </row>
    <row r="34" spans="4:6" x14ac:dyDescent="0.25">
      <c r="E34" s="1"/>
      <c r="F34" s="1"/>
    </row>
    <row r="35" spans="4:6" x14ac:dyDescent="0.25">
      <c r="D35" s="1"/>
      <c r="E35" s="1"/>
      <c r="F35" s="1"/>
    </row>
    <row r="36" spans="4:6" x14ac:dyDescent="0.25">
      <c r="E36" s="1"/>
      <c r="F36" s="1"/>
    </row>
    <row r="37" spans="4:6" x14ac:dyDescent="0.25">
      <c r="D37" s="1"/>
      <c r="E37" s="1"/>
      <c r="F37" s="1"/>
    </row>
    <row r="38" spans="4:6" x14ac:dyDescent="0.25">
      <c r="E38" s="1"/>
      <c r="F38" s="1"/>
    </row>
    <row r="39" spans="4:6" x14ac:dyDescent="0.25">
      <c r="E39" s="1"/>
      <c r="F39" s="1"/>
    </row>
    <row r="40" spans="4:6" x14ac:dyDescent="0.25">
      <c r="E40" s="1"/>
      <c r="F40" s="1"/>
    </row>
    <row r="41" spans="4:6" x14ac:dyDescent="0.25">
      <c r="E41" s="1"/>
      <c r="F41" s="1"/>
    </row>
    <row r="42" spans="4:6" x14ac:dyDescent="0.25">
      <c r="E42" s="1"/>
      <c r="F42" s="1"/>
    </row>
    <row r="43" spans="4:6" x14ac:dyDescent="0.25">
      <c r="E43" s="1"/>
      <c r="F43" s="1"/>
    </row>
    <row r="44" spans="4:6" x14ac:dyDescent="0.25">
      <c r="E44" s="1"/>
      <c r="F44" s="1"/>
    </row>
    <row r="45" spans="4:6" x14ac:dyDescent="0.25">
      <c r="E45" s="1"/>
      <c r="F45" s="1"/>
    </row>
    <row r="46" spans="4:6" x14ac:dyDescent="0.25">
      <c r="E46" s="1"/>
      <c r="F46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D22" sqref="D22"/>
    </sheetView>
  </sheetViews>
  <sheetFormatPr defaultRowHeight="15" x14ac:dyDescent="0.25"/>
  <cols>
    <col min="1" max="1" width="18.85546875" customWidth="1"/>
    <col min="2" max="3" width="14" customWidth="1"/>
    <col min="4" max="4" width="15.7109375" customWidth="1"/>
    <col min="6" max="6" width="10.5703125" bestFit="1" customWidth="1"/>
    <col min="7" max="7" width="9.5703125" customWidth="1"/>
    <col min="12" max="13" width="15.7109375" customWidth="1"/>
  </cols>
  <sheetData>
    <row r="1" spans="1:16" x14ac:dyDescent="0.25">
      <c r="A1" s="3"/>
      <c r="B1" t="s">
        <v>4</v>
      </c>
      <c r="E1" s="8"/>
      <c r="F1" s="8"/>
      <c r="H1" t="s">
        <v>4</v>
      </c>
      <c r="N1" s="2"/>
    </row>
    <row r="2" spans="1:16" x14ac:dyDescent="0.25">
      <c r="A2" s="3"/>
      <c r="B2" t="s">
        <v>5</v>
      </c>
      <c r="E2" s="8"/>
      <c r="F2" s="8"/>
      <c r="H2" t="s">
        <v>5</v>
      </c>
      <c r="N2" t="s">
        <v>226</v>
      </c>
    </row>
    <row r="3" spans="1:16" x14ac:dyDescent="0.25">
      <c r="A3" s="3" t="s">
        <v>106</v>
      </c>
      <c r="B3" t="s">
        <v>220</v>
      </c>
      <c r="C3" t="s">
        <v>221</v>
      </c>
      <c r="D3" t="s">
        <v>222</v>
      </c>
      <c r="E3" s="8" t="s">
        <v>1</v>
      </c>
      <c r="F3" s="8" t="s">
        <v>233</v>
      </c>
      <c r="H3" t="s">
        <v>220</v>
      </c>
      <c r="I3" t="s">
        <v>221</v>
      </c>
      <c r="J3" t="s">
        <v>222</v>
      </c>
      <c r="K3" s="8" t="s">
        <v>1</v>
      </c>
      <c r="L3" t="s">
        <v>224</v>
      </c>
      <c r="M3" t="s">
        <v>225</v>
      </c>
      <c r="N3" s="5" t="s">
        <v>253</v>
      </c>
      <c r="O3" s="8" t="s">
        <v>233</v>
      </c>
    </row>
    <row r="4" spans="1:16" x14ac:dyDescent="0.25">
      <c r="A4" s="3" t="s">
        <v>120</v>
      </c>
      <c r="B4">
        <v>29</v>
      </c>
      <c r="C4" s="1">
        <v>795</v>
      </c>
      <c r="D4" s="1">
        <f>+B4+C4</f>
        <v>824</v>
      </c>
      <c r="E4" s="8">
        <v>33</v>
      </c>
      <c r="F4" s="8">
        <f>(1000/E4)*B4</f>
        <v>878.78787878787887</v>
      </c>
      <c r="H4">
        <v>26</v>
      </c>
      <c r="I4" s="1">
        <v>800</v>
      </c>
      <c r="J4" s="1">
        <f t="shared" ref="J4:J5" si="0">+H4+I4</f>
        <v>826</v>
      </c>
      <c r="K4">
        <v>33</v>
      </c>
      <c r="L4">
        <f>+(B4-H4)/B4*100</f>
        <v>10.344827586206897</v>
      </c>
      <c r="M4">
        <f>+(C4-I4)/C4*100</f>
        <v>-0.62893081761006298</v>
      </c>
      <c r="N4">
        <f>+(D4-J4)/D4*100</f>
        <v>-0.24271844660194172</v>
      </c>
      <c r="O4" s="8">
        <f>(1000/K4)*H4</f>
        <v>787.87878787878788</v>
      </c>
    </row>
    <row r="5" spans="1:16" x14ac:dyDescent="0.25">
      <c r="A5" s="3" t="s">
        <v>113</v>
      </c>
      <c r="B5">
        <v>12</v>
      </c>
      <c r="C5" s="1">
        <v>756</v>
      </c>
      <c r="D5" s="1">
        <f t="shared" ref="D5:D12" si="1">+B5+C5</f>
        <v>768</v>
      </c>
      <c r="E5" s="8">
        <v>33</v>
      </c>
      <c r="F5" s="8">
        <f t="shared" ref="F5:F12" si="2">(1000/E5)*B5</f>
        <v>363.63636363636363</v>
      </c>
      <c r="H5">
        <v>15</v>
      </c>
      <c r="I5" s="1">
        <v>1369</v>
      </c>
      <c r="J5" s="1">
        <f t="shared" si="0"/>
        <v>1384</v>
      </c>
      <c r="K5">
        <v>33</v>
      </c>
      <c r="L5">
        <f t="shared" ref="L5:N12" si="3">+(B5-H5)/B5*100</f>
        <v>-25</v>
      </c>
      <c r="M5">
        <f t="shared" si="3"/>
        <v>-81.084656084656075</v>
      </c>
      <c r="N5">
        <f t="shared" si="3"/>
        <v>-80.208333333333343</v>
      </c>
      <c r="O5" s="8">
        <f t="shared" ref="O5:O12" si="4">(1000/K5)*H5</f>
        <v>454.54545454545456</v>
      </c>
    </row>
    <row r="6" spans="1:16" x14ac:dyDescent="0.25">
      <c r="A6" s="3" t="s">
        <v>115</v>
      </c>
      <c r="B6" s="10">
        <v>712</v>
      </c>
      <c r="C6" s="10">
        <v>51320</v>
      </c>
      <c r="D6" s="1">
        <f>+B6+C6</f>
        <v>52032</v>
      </c>
      <c r="E6" s="8">
        <v>33</v>
      </c>
      <c r="F6" s="8">
        <f t="shared" si="2"/>
        <v>21575.757575757576</v>
      </c>
      <c r="H6">
        <v>12</v>
      </c>
      <c r="I6" s="1">
        <v>973</v>
      </c>
      <c r="J6" s="1">
        <f>+H6+I6</f>
        <v>985</v>
      </c>
      <c r="K6">
        <v>33</v>
      </c>
      <c r="L6" s="10">
        <f t="shared" si="3"/>
        <v>98.31460674157303</v>
      </c>
      <c r="M6" s="10">
        <f t="shared" si="3"/>
        <v>98.10405300077943</v>
      </c>
      <c r="N6" s="10">
        <f t="shared" si="3"/>
        <v>98.106934194341946</v>
      </c>
      <c r="O6" s="8">
        <f t="shared" si="4"/>
        <v>363.63636363636363</v>
      </c>
    </row>
    <row r="7" spans="1:16" x14ac:dyDescent="0.25">
      <c r="A7" s="3" t="s">
        <v>114</v>
      </c>
      <c r="B7">
        <v>17</v>
      </c>
      <c r="C7">
        <v>904</v>
      </c>
      <c r="D7" s="1">
        <f t="shared" si="1"/>
        <v>921</v>
      </c>
      <c r="E7" s="14">
        <v>33</v>
      </c>
      <c r="F7" s="8">
        <f t="shared" si="2"/>
        <v>515.15151515151513</v>
      </c>
      <c r="G7" s="11"/>
      <c r="H7" s="11">
        <v>30</v>
      </c>
      <c r="I7" s="1">
        <v>1046</v>
      </c>
      <c r="J7" s="1">
        <f t="shared" ref="J7:J12" si="5">+H7+I7</f>
        <v>1076</v>
      </c>
      <c r="K7" s="11">
        <v>33</v>
      </c>
      <c r="L7">
        <f t="shared" si="3"/>
        <v>-76.470588235294116</v>
      </c>
      <c r="M7">
        <f t="shared" si="3"/>
        <v>-15.707964601769911</v>
      </c>
      <c r="N7">
        <f t="shared" si="3"/>
        <v>-16.829533116178066</v>
      </c>
      <c r="O7" s="8">
        <f t="shared" si="4"/>
        <v>909.09090909090912</v>
      </c>
      <c r="P7" s="11"/>
    </row>
    <row r="8" spans="1:16" x14ac:dyDescent="0.25">
      <c r="A8" s="3" t="s">
        <v>112</v>
      </c>
      <c r="B8">
        <v>119</v>
      </c>
      <c r="C8" s="1">
        <v>1095</v>
      </c>
      <c r="D8" s="1">
        <f t="shared" si="1"/>
        <v>1214</v>
      </c>
      <c r="E8" s="14">
        <v>33</v>
      </c>
      <c r="F8" s="8">
        <f t="shared" si="2"/>
        <v>3606.0606060606065</v>
      </c>
      <c r="G8" s="11"/>
      <c r="H8" s="11">
        <v>11</v>
      </c>
      <c r="I8" s="1">
        <v>941</v>
      </c>
      <c r="J8" s="1">
        <f t="shared" si="5"/>
        <v>952</v>
      </c>
      <c r="K8" s="11">
        <v>33</v>
      </c>
      <c r="L8">
        <f t="shared" si="3"/>
        <v>90.756302521008408</v>
      </c>
      <c r="M8">
        <f t="shared" si="3"/>
        <v>14.063926940639268</v>
      </c>
      <c r="N8">
        <f t="shared" si="3"/>
        <v>21.581548599670512</v>
      </c>
      <c r="O8" s="8">
        <f t="shared" si="4"/>
        <v>333.33333333333337</v>
      </c>
      <c r="P8" s="11"/>
    </row>
    <row r="9" spans="1:16" x14ac:dyDescent="0.25">
      <c r="A9" s="3" t="s">
        <v>118</v>
      </c>
      <c r="B9">
        <v>24</v>
      </c>
      <c r="C9" s="1">
        <v>888</v>
      </c>
      <c r="D9" s="1">
        <f t="shared" si="1"/>
        <v>912</v>
      </c>
      <c r="E9" s="14">
        <v>33</v>
      </c>
      <c r="F9" s="8">
        <f t="shared" si="2"/>
        <v>727.27272727272725</v>
      </c>
      <c r="G9" s="11"/>
      <c r="H9" s="11">
        <v>26</v>
      </c>
      <c r="I9" s="1">
        <v>902</v>
      </c>
      <c r="J9" s="1">
        <f t="shared" si="5"/>
        <v>928</v>
      </c>
      <c r="K9" s="11">
        <v>33</v>
      </c>
      <c r="L9">
        <f t="shared" si="3"/>
        <v>-8.3333333333333321</v>
      </c>
      <c r="M9">
        <f t="shared" si="3"/>
        <v>-1.5765765765765765</v>
      </c>
      <c r="N9">
        <f t="shared" si="3"/>
        <v>-1.7543859649122806</v>
      </c>
      <c r="O9" s="8">
        <f t="shared" si="4"/>
        <v>787.87878787878788</v>
      </c>
      <c r="P9" s="11"/>
    </row>
    <row r="10" spans="1:16" x14ac:dyDescent="0.25">
      <c r="A10" s="3" t="s">
        <v>119</v>
      </c>
      <c r="B10">
        <v>16</v>
      </c>
      <c r="C10" s="1">
        <v>1258</v>
      </c>
      <c r="D10" s="1">
        <f t="shared" si="1"/>
        <v>1274</v>
      </c>
      <c r="E10" s="14">
        <v>33</v>
      </c>
      <c r="F10" s="8">
        <f t="shared" si="2"/>
        <v>484.84848484848487</v>
      </c>
      <c r="G10" s="11"/>
      <c r="H10" s="11">
        <v>23</v>
      </c>
      <c r="I10" s="1">
        <v>1548</v>
      </c>
      <c r="J10" s="1">
        <f t="shared" si="5"/>
        <v>1571</v>
      </c>
      <c r="K10" s="11">
        <v>33</v>
      </c>
      <c r="L10">
        <f t="shared" si="3"/>
        <v>-43.75</v>
      </c>
      <c r="M10">
        <f t="shared" si="3"/>
        <v>-23.052464228934817</v>
      </c>
      <c r="N10">
        <f t="shared" si="3"/>
        <v>-23.312401883830454</v>
      </c>
      <c r="O10" s="8">
        <f t="shared" si="4"/>
        <v>696.969696969697</v>
      </c>
      <c r="P10" s="11"/>
    </row>
    <row r="11" spans="1:16" x14ac:dyDescent="0.25">
      <c r="A11" s="3" t="s">
        <v>116</v>
      </c>
      <c r="B11" s="1">
        <v>8</v>
      </c>
      <c r="C11" s="1">
        <v>633</v>
      </c>
      <c r="D11" s="1">
        <f t="shared" si="1"/>
        <v>641</v>
      </c>
      <c r="E11" s="14">
        <v>33</v>
      </c>
      <c r="F11" s="8">
        <f t="shared" si="2"/>
        <v>242.42424242424244</v>
      </c>
      <c r="G11" s="11"/>
      <c r="H11" s="16">
        <v>20</v>
      </c>
      <c r="I11" s="1">
        <v>1117</v>
      </c>
      <c r="J11" s="1">
        <f t="shared" si="5"/>
        <v>1137</v>
      </c>
      <c r="K11" s="11">
        <v>33</v>
      </c>
      <c r="L11">
        <f t="shared" si="3"/>
        <v>-150</v>
      </c>
      <c r="M11">
        <f t="shared" si="3"/>
        <v>-76.461295418641399</v>
      </c>
      <c r="N11">
        <f t="shared" si="3"/>
        <v>-77.379095163806554</v>
      </c>
      <c r="O11" s="8">
        <f t="shared" si="4"/>
        <v>606.06060606060612</v>
      </c>
      <c r="P11" s="11"/>
    </row>
    <row r="12" spans="1:16" x14ac:dyDescent="0.25">
      <c r="A12" s="3" t="s">
        <v>117</v>
      </c>
      <c r="B12">
        <v>29</v>
      </c>
      <c r="C12" s="1">
        <v>1329</v>
      </c>
      <c r="D12" s="1">
        <f t="shared" si="1"/>
        <v>1358</v>
      </c>
      <c r="E12" s="14">
        <v>33</v>
      </c>
      <c r="F12" s="8">
        <f t="shared" si="2"/>
        <v>878.78787878787887</v>
      </c>
      <c r="G12" s="11"/>
      <c r="H12" s="11">
        <v>26</v>
      </c>
      <c r="I12" s="1">
        <v>1160</v>
      </c>
      <c r="J12" s="1">
        <f t="shared" si="5"/>
        <v>1186</v>
      </c>
      <c r="K12" s="11">
        <v>33</v>
      </c>
      <c r="L12">
        <f t="shared" si="3"/>
        <v>10.344827586206897</v>
      </c>
      <c r="M12">
        <f t="shared" si="3"/>
        <v>12.716328066215199</v>
      </c>
      <c r="N12">
        <f t="shared" si="3"/>
        <v>12.665684830633284</v>
      </c>
      <c r="O12" s="8">
        <f t="shared" si="4"/>
        <v>787.87878787878788</v>
      </c>
      <c r="P12" s="11"/>
    </row>
    <row r="13" spans="1:16" x14ac:dyDescent="0.25">
      <c r="F13" t="s">
        <v>234</v>
      </c>
      <c r="G13" t="s">
        <v>235</v>
      </c>
      <c r="O13" t="s">
        <v>234</v>
      </c>
      <c r="P13" t="s">
        <v>235</v>
      </c>
    </row>
    <row r="14" spans="1:16" x14ac:dyDescent="0.25">
      <c r="F14" s="8">
        <f>AVERAGE(F4:F12)</f>
        <v>3252.5252525252531</v>
      </c>
      <c r="G14">
        <f>_xlfn.STDEV.S(F4:F12)</f>
        <v>6946.8664279690938</v>
      </c>
      <c r="O14" s="8">
        <f>AVERAGE(O4:O12)</f>
        <v>636.36363636363649</v>
      </c>
      <c r="P14">
        <f>_xlfn.STDEV.S(O4:O12)</f>
        <v>208.29889522526526</v>
      </c>
    </row>
    <row r="15" spans="1:16" x14ac:dyDescent="0.25">
      <c r="A15" t="s">
        <v>236</v>
      </c>
    </row>
    <row r="16" spans="1:16" x14ac:dyDescent="0.25">
      <c r="B16" t="s">
        <v>220</v>
      </c>
      <c r="C16" t="s">
        <v>221</v>
      </c>
      <c r="D16" t="s">
        <v>222</v>
      </c>
      <c r="E16" s="8" t="s">
        <v>1</v>
      </c>
      <c r="F16" s="8" t="s">
        <v>233</v>
      </c>
    </row>
    <row r="17" spans="1:6" x14ac:dyDescent="0.25">
      <c r="A17" t="s">
        <v>223</v>
      </c>
      <c r="B17">
        <v>21710</v>
      </c>
      <c r="C17" s="1">
        <v>49020</v>
      </c>
      <c r="D17" s="1">
        <f>+B17+C17</f>
        <v>70730</v>
      </c>
      <c r="E17" s="8">
        <v>33</v>
      </c>
      <c r="F17" s="8">
        <f>(1000/E17)*B17</f>
        <v>657878.78787878796</v>
      </c>
    </row>
    <row r="18" spans="1:6" x14ac:dyDescent="0.25">
      <c r="D18" s="1"/>
      <c r="E18" s="8"/>
      <c r="F18" s="8"/>
    </row>
    <row r="20" spans="1:6" x14ac:dyDescent="0.25">
      <c r="A20" t="s">
        <v>248</v>
      </c>
    </row>
    <row r="21" spans="1:6" x14ac:dyDescent="0.25">
      <c r="A21" t="s">
        <v>249</v>
      </c>
    </row>
    <row r="22" spans="1:6" x14ac:dyDescent="0.25">
      <c r="A22" t="s">
        <v>250</v>
      </c>
    </row>
    <row r="23" spans="1:6" x14ac:dyDescent="0.25">
      <c r="A23" t="s">
        <v>251</v>
      </c>
    </row>
    <row r="25" spans="1:6" x14ac:dyDescent="0.25">
      <c r="A25" s="10" t="s">
        <v>252</v>
      </c>
    </row>
    <row r="28" spans="1:6" x14ac:dyDescent="0.25">
      <c r="E28" s="1"/>
      <c r="F28" s="1"/>
    </row>
    <row r="29" spans="1:6" x14ac:dyDescent="0.25">
      <c r="E29" s="1"/>
      <c r="F29" s="1"/>
    </row>
    <row r="30" spans="1:6" x14ac:dyDescent="0.25">
      <c r="E30" s="1"/>
      <c r="F30" s="1"/>
    </row>
    <row r="31" spans="1:6" x14ac:dyDescent="0.25">
      <c r="E31" s="1"/>
      <c r="F31" s="1"/>
    </row>
    <row r="32" spans="1:6" x14ac:dyDescent="0.25">
      <c r="E32" s="1"/>
      <c r="F32" s="1"/>
    </row>
    <row r="33" spans="4:6" x14ac:dyDescent="0.25">
      <c r="E33" s="1"/>
      <c r="F33" s="1"/>
    </row>
    <row r="34" spans="4:6" x14ac:dyDescent="0.25">
      <c r="E34" s="1"/>
      <c r="F34" s="1"/>
    </row>
    <row r="35" spans="4:6" x14ac:dyDescent="0.25">
      <c r="D35" s="1"/>
      <c r="E35" s="1"/>
      <c r="F35" s="1"/>
    </row>
    <row r="36" spans="4:6" x14ac:dyDescent="0.25">
      <c r="E36" s="1"/>
      <c r="F36" s="1"/>
    </row>
    <row r="37" spans="4:6" x14ac:dyDescent="0.25">
      <c r="D37" s="1"/>
      <c r="E37" s="1"/>
      <c r="F37" s="1"/>
    </row>
    <row r="38" spans="4:6" x14ac:dyDescent="0.25">
      <c r="E38" s="1"/>
      <c r="F38" s="1"/>
    </row>
    <row r="39" spans="4:6" x14ac:dyDescent="0.25">
      <c r="E39" s="1"/>
      <c r="F39" s="1"/>
    </row>
    <row r="40" spans="4:6" x14ac:dyDescent="0.25">
      <c r="E40" s="1"/>
      <c r="F40" s="1"/>
    </row>
    <row r="41" spans="4:6" x14ac:dyDescent="0.25">
      <c r="E41" s="1"/>
      <c r="F41" s="1"/>
    </row>
    <row r="42" spans="4:6" x14ac:dyDescent="0.25">
      <c r="E42" s="1"/>
      <c r="F42" s="1"/>
    </row>
    <row r="43" spans="4:6" x14ac:dyDescent="0.25">
      <c r="E43" s="1"/>
      <c r="F43" s="1"/>
    </row>
    <row r="44" spans="4:6" x14ac:dyDescent="0.25">
      <c r="E44" s="1"/>
      <c r="F44" s="1"/>
    </row>
    <row r="45" spans="4:6" x14ac:dyDescent="0.25">
      <c r="E45" s="1"/>
      <c r="F45" s="1"/>
    </row>
    <row r="46" spans="4:6" x14ac:dyDescent="0.25">
      <c r="E46" s="1"/>
      <c r="F46" s="1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1" zoomScale="86" zoomScaleNormal="86" workbookViewId="0">
      <selection activeCell="H14" sqref="H14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71</v>
      </c>
      <c r="C4" s="16">
        <v>15379</v>
      </c>
      <c r="D4" s="16">
        <f>+B4+C4</f>
        <v>15450</v>
      </c>
      <c r="E4" s="14">
        <v>33</v>
      </c>
      <c r="F4" s="14">
        <f>(1000/E4)*B4</f>
        <v>2151.5151515151515</v>
      </c>
      <c r="H4" s="11">
        <v>35</v>
      </c>
      <c r="I4" s="16">
        <v>10277</v>
      </c>
      <c r="J4" s="16">
        <f t="shared" ref="J4:J5" si="0">+H4+I4</f>
        <v>10312</v>
      </c>
      <c r="K4" s="11">
        <v>33</v>
      </c>
      <c r="L4" s="11">
        <f>+(B4-H4)/B4*100</f>
        <v>50.704225352112672</v>
      </c>
      <c r="M4" s="11">
        <f>+(C4-I4)/C4*100</f>
        <v>33.175108914753885</v>
      </c>
      <c r="N4" s="11">
        <f>+(D4-J4)/D4*100</f>
        <v>33.255663430420711</v>
      </c>
      <c r="O4" s="14">
        <f>(1000/K4)*H4</f>
        <v>1060.6060606060607</v>
      </c>
    </row>
    <row r="5" spans="1:16" x14ac:dyDescent="0.25">
      <c r="A5" s="17" t="s">
        <v>113</v>
      </c>
      <c r="B5" s="11">
        <v>24</v>
      </c>
      <c r="C5" s="16">
        <v>19356</v>
      </c>
      <c r="D5" s="16">
        <f t="shared" ref="D5:D12" si="1">+B5+C5</f>
        <v>19380</v>
      </c>
      <c r="E5" s="14">
        <v>33</v>
      </c>
      <c r="F5" s="14">
        <f t="shared" ref="F5:F12" si="2">(1000/E5)*B5</f>
        <v>727.27272727272725</v>
      </c>
      <c r="H5" s="11">
        <v>34</v>
      </c>
      <c r="I5" s="16">
        <v>11457</v>
      </c>
      <c r="J5" s="16">
        <f t="shared" si="0"/>
        <v>11491</v>
      </c>
      <c r="K5" s="11">
        <v>33</v>
      </c>
      <c r="L5" s="11">
        <f t="shared" ref="L5:N12" si="3">+(B5-H5)/B5*100</f>
        <v>-41.666666666666671</v>
      </c>
      <c r="M5" s="11">
        <f t="shared" si="3"/>
        <v>40.809051456912584</v>
      </c>
      <c r="N5" s="11">
        <f>+(D5-J5)/D5*100</f>
        <v>40.706914344685238</v>
      </c>
      <c r="O5" s="14">
        <f t="shared" ref="O5:O12" si="4">(1000/K5)*H5</f>
        <v>1030.3030303030303</v>
      </c>
    </row>
    <row r="6" spans="1:16" x14ac:dyDescent="0.25">
      <c r="A6" s="17" t="s">
        <v>115</v>
      </c>
      <c r="B6" s="11">
        <v>25</v>
      </c>
      <c r="C6" s="11">
        <v>22080</v>
      </c>
      <c r="D6" s="16">
        <f>+B6+C6</f>
        <v>22105</v>
      </c>
      <c r="E6" s="14">
        <v>33</v>
      </c>
      <c r="F6" s="14">
        <f t="shared" si="2"/>
        <v>757.57575757575762</v>
      </c>
      <c r="H6" s="11">
        <v>22</v>
      </c>
      <c r="I6" s="16">
        <v>4714</v>
      </c>
      <c r="J6" s="16">
        <f>+H6+I6</f>
        <v>4736</v>
      </c>
      <c r="K6" s="11">
        <v>33</v>
      </c>
      <c r="L6" s="11">
        <f t="shared" si="3"/>
        <v>12</v>
      </c>
      <c r="M6" s="11">
        <f t="shared" si="3"/>
        <v>78.650362318840578</v>
      </c>
      <c r="N6" s="11">
        <f t="shared" si="3"/>
        <v>78.574983035512318</v>
      </c>
      <c r="O6" s="14">
        <f t="shared" si="4"/>
        <v>666.66666666666674</v>
      </c>
    </row>
    <row r="7" spans="1:16" x14ac:dyDescent="0.25">
      <c r="A7" s="17" t="s">
        <v>114</v>
      </c>
      <c r="B7" s="11">
        <v>47</v>
      </c>
      <c r="C7" s="11">
        <v>23998</v>
      </c>
      <c r="D7" s="16">
        <f t="shared" si="1"/>
        <v>24045</v>
      </c>
      <c r="E7" s="14">
        <v>33</v>
      </c>
      <c r="F7" s="14">
        <f t="shared" si="2"/>
        <v>1424.2424242424242</v>
      </c>
      <c r="H7" s="11">
        <v>38</v>
      </c>
      <c r="I7" s="16">
        <v>13746</v>
      </c>
      <c r="J7" s="16">
        <f t="shared" ref="J7:J12" si="5">+H7+I7</f>
        <v>13784</v>
      </c>
      <c r="K7" s="11">
        <v>33</v>
      </c>
      <c r="L7" s="11">
        <f t="shared" si="3"/>
        <v>19.148936170212767</v>
      </c>
      <c r="M7" s="11">
        <f t="shared" si="3"/>
        <v>42.72022668555713</v>
      </c>
      <c r="N7" s="11">
        <f t="shared" si="3"/>
        <v>42.674152630484507</v>
      </c>
      <c r="O7" s="14">
        <f t="shared" si="4"/>
        <v>1151.5151515151515</v>
      </c>
    </row>
    <row r="8" spans="1:16" x14ac:dyDescent="0.25">
      <c r="A8" s="17" t="s">
        <v>112</v>
      </c>
      <c r="B8" s="11">
        <v>34</v>
      </c>
      <c r="C8" s="16">
        <v>20596</v>
      </c>
      <c r="D8" s="16">
        <f t="shared" si="1"/>
        <v>20630</v>
      </c>
      <c r="E8" s="14">
        <v>33</v>
      </c>
      <c r="F8" s="14">
        <f t="shared" si="2"/>
        <v>1030.3030303030303</v>
      </c>
      <c r="H8" s="11">
        <v>25</v>
      </c>
      <c r="I8" s="16">
        <v>11438</v>
      </c>
      <c r="J8" s="16">
        <f t="shared" si="5"/>
        <v>11463</v>
      </c>
      <c r="K8" s="11">
        <v>33</v>
      </c>
      <c r="L8" s="11">
        <f t="shared" si="3"/>
        <v>26.47058823529412</v>
      </c>
      <c r="M8" s="11">
        <f t="shared" si="3"/>
        <v>44.464944649446494</v>
      </c>
      <c r="N8" s="11">
        <f t="shared" si="3"/>
        <v>44.435288414929715</v>
      </c>
      <c r="O8" s="14">
        <f t="shared" si="4"/>
        <v>757.57575757575762</v>
      </c>
    </row>
    <row r="9" spans="1:16" x14ac:dyDescent="0.25">
      <c r="A9" s="17" t="s">
        <v>118</v>
      </c>
      <c r="B9" s="11">
        <v>16</v>
      </c>
      <c r="C9" s="16">
        <v>18395</v>
      </c>
      <c r="D9" s="16">
        <f t="shared" si="1"/>
        <v>18411</v>
      </c>
      <c r="E9" s="14">
        <v>33</v>
      </c>
      <c r="F9" s="14">
        <f t="shared" si="2"/>
        <v>484.84848484848487</v>
      </c>
      <c r="H9" s="11">
        <v>20</v>
      </c>
      <c r="I9" s="16">
        <v>11057</v>
      </c>
      <c r="J9" s="16">
        <f t="shared" si="5"/>
        <v>11077</v>
      </c>
      <c r="K9" s="11">
        <v>33</v>
      </c>
      <c r="L9" s="11">
        <f t="shared" si="3"/>
        <v>-25</v>
      </c>
      <c r="M9" s="11">
        <f t="shared" si="3"/>
        <v>39.891274802935577</v>
      </c>
      <c r="N9" s="11">
        <f t="shared" si="3"/>
        <v>39.834881320949435</v>
      </c>
      <c r="O9" s="14">
        <f t="shared" si="4"/>
        <v>606.06060606060612</v>
      </c>
    </row>
    <row r="10" spans="1:16" x14ac:dyDescent="0.25">
      <c r="A10" s="17" t="s">
        <v>119</v>
      </c>
      <c r="B10" s="11">
        <v>23</v>
      </c>
      <c r="C10" s="16">
        <v>17782</v>
      </c>
      <c r="D10" s="16">
        <f t="shared" si="1"/>
        <v>17805</v>
      </c>
      <c r="E10" s="14">
        <v>33</v>
      </c>
      <c r="F10" s="14">
        <f t="shared" si="2"/>
        <v>696.969696969697</v>
      </c>
      <c r="H10" s="11">
        <v>21</v>
      </c>
      <c r="I10" s="16">
        <v>12218</v>
      </c>
      <c r="J10" s="16">
        <f t="shared" si="5"/>
        <v>12239</v>
      </c>
      <c r="K10" s="11">
        <v>33</v>
      </c>
      <c r="L10" s="11">
        <f t="shared" si="3"/>
        <v>8.695652173913043</v>
      </c>
      <c r="M10" s="11">
        <f t="shared" si="3"/>
        <v>31.290068608705436</v>
      </c>
      <c r="N10" s="11">
        <f t="shared" si="3"/>
        <v>31.260881774782362</v>
      </c>
      <c r="O10" s="14">
        <f t="shared" si="4"/>
        <v>636.36363636363637</v>
      </c>
    </row>
    <row r="11" spans="1:16" x14ac:dyDescent="0.25">
      <c r="A11" s="17" t="s">
        <v>116</v>
      </c>
      <c r="B11" s="16">
        <v>45</v>
      </c>
      <c r="C11" s="16">
        <v>18012</v>
      </c>
      <c r="D11" s="16">
        <f t="shared" si="1"/>
        <v>18057</v>
      </c>
      <c r="E11" s="14">
        <v>33</v>
      </c>
      <c r="F11" s="14">
        <f t="shared" si="2"/>
        <v>1363.6363636363637</v>
      </c>
      <c r="H11" s="16">
        <v>24</v>
      </c>
      <c r="I11" s="16">
        <v>12120</v>
      </c>
      <c r="J11" s="16">
        <f t="shared" si="5"/>
        <v>12144</v>
      </c>
      <c r="K11" s="11">
        <v>33</v>
      </c>
      <c r="L11" s="11">
        <f t="shared" si="3"/>
        <v>46.666666666666664</v>
      </c>
      <c r="M11" s="11">
        <f t="shared" si="3"/>
        <v>32.711525649566951</v>
      </c>
      <c r="N11" s="11">
        <f t="shared" si="3"/>
        <v>32.746303372653266</v>
      </c>
      <c r="O11" s="14">
        <f t="shared" si="4"/>
        <v>727.27272727272725</v>
      </c>
    </row>
    <row r="12" spans="1:16" x14ac:dyDescent="0.25">
      <c r="A12" s="17" t="s">
        <v>117</v>
      </c>
      <c r="B12" s="11">
        <v>30</v>
      </c>
      <c r="C12" s="16">
        <v>22802</v>
      </c>
      <c r="D12" s="16">
        <f t="shared" si="1"/>
        <v>22832</v>
      </c>
      <c r="E12" s="14">
        <v>33</v>
      </c>
      <c r="F12" s="14">
        <f t="shared" si="2"/>
        <v>909.09090909090912</v>
      </c>
      <c r="H12" s="11">
        <v>11</v>
      </c>
      <c r="I12" s="16">
        <v>9575</v>
      </c>
      <c r="J12" s="16">
        <f t="shared" si="5"/>
        <v>9586</v>
      </c>
      <c r="K12" s="11">
        <v>33</v>
      </c>
      <c r="L12" s="11">
        <f t="shared" si="3"/>
        <v>63.333333333333329</v>
      </c>
      <c r="M12" s="11">
        <f t="shared" si="3"/>
        <v>58.008069467590559</v>
      </c>
      <c r="N12" s="11">
        <f t="shared" si="3"/>
        <v>58.015066573230555</v>
      </c>
      <c r="O12" s="14">
        <f t="shared" si="4"/>
        <v>333.33333333333337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1060.6060606060607</v>
      </c>
      <c r="G14" s="11">
        <f>_xlfn.STDEV.S(F4:F12)</f>
        <v>512.91851150941682</v>
      </c>
      <c r="L14" s="11">
        <f>AVERAGE(L4:L12)</f>
        <v>17.816970584985103</v>
      </c>
      <c r="M14" s="11">
        <f>AVERAGE(M4:M12)</f>
        <v>44.635625839367691</v>
      </c>
      <c r="N14" s="11">
        <f>AVERAGE(N4:N12)</f>
        <v>44.611570544183131</v>
      </c>
      <c r="O14" s="14">
        <f>AVERAGE(O4:O12)</f>
        <v>774.41077441077437</v>
      </c>
      <c r="P14" s="11">
        <f>_xlfn.STDEV.S(O4:O12)</f>
        <v>261.16532270399853</v>
      </c>
    </row>
    <row r="15" spans="1:16" x14ac:dyDescent="0.25">
      <c r="A15" s="11" t="s">
        <v>236</v>
      </c>
    </row>
    <row r="16" spans="1:16" x14ac:dyDescent="0.25">
      <c r="B16" s="11" t="s">
        <v>220</v>
      </c>
      <c r="C16" s="11" t="s">
        <v>221</v>
      </c>
      <c r="D16" s="11" t="s">
        <v>222</v>
      </c>
      <c r="E16" s="14" t="s">
        <v>1</v>
      </c>
      <c r="F16" s="14" t="s">
        <v>233</v>
      </c>
    </row>
    <row r="17" spans="1:6" x14ac:dyDescent="0.25">
      <c r="A17" s="11" t="s">
        <v>223</v>
      </c>
      <c r="B17" s="11">
        <v>5471</v>
      </c>
      <c r="C17" s="16">
        <v>11634</v>
      </c>
      <c r="D17" s="16">
        <f>+B17+C17</f>
        <v>17105</v>
      </c>
      <c r="E17" s="14">
        <v>33</v>
      </c>
      <c r="F17" s="14">
        <f>(1000/E17)*B17</f>
        <v>165787.87878787878</v>
      </c>
    </row>
    <row r="18" spans="1:6" x14ac:dyDescent="0.25">
      <c r="B18" s="11" t="s">
        <v>257</v>
      </c>
      <c r="D18" s="16"/>
      <c r="E18" s="14"/>
      <c r="F18" s="14"/>
    </row>
    <row r="20" spans="1:6" x14ac:dyDescent="0.25">
      <c r="A20" s="11" t="s">
        <v>254</v>
      </c>
    </row>
    <row r="21" spans="1:6" x14ac:dyDescent="0.25">
      <c r="A21" s="11" t="s">
        <v>255</v>
      </c>
    </row>
    <row r="22" spans="1:6" x14ac:dyDescent="0.25">
      <c r="A22" s="11" t="s">
        <v>256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Q14" sqref="Q14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L1" s="11" t="e">
        <f>AVERAGE(#REF!)</f>
        <v>#REF!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14</v>
      </c>
      <c r="C4" s="16">
        <v>4094</v>
      </c>
      <c r="D4" s="16">
        <f>+B4+C4</f>
        <v>4108</v>
      </c>
      <c r="E4" s="14">
        <v>33</v>
      </c>
      <c r="F4" s="14">
        <f>(1000/E4)*B4</f>
        <v>424.24242424242425</v>
      </c>
      <c r="H4" s="11">
        <v>14</v>
      </c>
      <c r="I4" s="16">
        <v>3561</v>
      </c>
      <c r="J4" s="16">
        <f t="shared" ref="J4:J5" si="0">+H4+I4</f>
        <v>3575</v>
      </c>
      <c r="K4" s="11">
        <v>33</v>
      </c>
      <c r="L4" s="11">
        <f>+(B4-H4)/B4*100</f>
        <v>0</v>
      </c>
      <c r="M4" s="11">
        <f>+(C4-I4)/C4*100</f>
        <v>13.019052271617001</v>
      </c>
      <c r="N4" s="11">
        <f>+(D4-J4)/D4*100</f>
        <v>12.974683544303797</v>
      </c>
      <c r="O4" s="14">
        <f>(1000/K4)*H4</f>
        <v>424.24242424242425</v>
      </c>
    </row>
    <row r="5" spans="1:16" x14ac:dyDescent="0.25">
      <c r="A5" s="17" t="s">
        <v>113</v>
      </c>
      <c r="B5" s="11">
        <v>78</v>
      </c>
      <c r="C5" s="16">
        <v>7754</v>
      </c>
      <c r="D5" s="16">
        <f t="shared" ref="D5:D12" si="1">+B5+C5</f>
        <v>7832</v>
      </c>
      <c r="E5" s="14">
        <v>33</v>
      </c>
      <c r="F5" s="14">
        <f t="shared" ref="F5:F12" si="2">(1000/E5)*B5</f>
        <v>2363.636363636364</v>
      </c>
      <c r="H5" s="11">
        <v>30</v>
      </c>
      <c r="I5" s="16">
        <v>4557</v>
      </c>
      <c r="J5" s="16">
        <f t="shared" si="0"/>
        <v>4587</v>
      </c>
      <c r="K5" s="11">
        <v>33</v>
      </c>
      <c r="L5" s="11">
        <f t="shared" ref="L5:N12" si="3">+(B5-H5)/B5*100</f>
        <v>61.53846153846154</v>
      </c>
      <c r="M5" s="11">
        <f t="shared" si="3"/>
        <v>41.230332731493426</v>
      </c>
      <c r="N5" s="11">
        <f>+(D5-J5)/D5*100</f>
        <v>41.432584269662918</v>
      </c>
      <c r="O5" s="14">
        <f t="shared" ref="O5:O12" si="4">(1000/K5)*H5</f>
        <v>909.09090909090912</v>
      </c>
    </row>
    <row r="6" spans="1:16" x14ac:dyDescent="0.25">
      <c r="A6" s="17" t="s">
        <v>115</v>
      </c>
      <c r="B6" s="11">
        <v>49</v>
      </c>
      <c r="C6" s="11">
        <v>5114</v>
      </c>
      <c r="D6" s="16">
        <f>+B6+C6</f>
        <v>5163</v>
      </c>
      <c r="E6" s="14">
        <v>33</v>
      </c>
      <c r="F6" s="14">
        <f t="shared" si="2"/>
        <v>1484.848484848485</v>
      </c>
      <c r="H6" s="11">
        <v>25</v>
      </c>
      <c r="I6" s="16">
        <v>5068</v>
      </c>
      <c r="J6" s="16">
        <f>+H6+I6</f>
        <v>5093</v>
      </c>
      <c r="K6" s="11">
        <v>33</v>
      </c>
      <c r="L6" s="11">
        <f t="shared" si="3"/>
        <v>48.979591836734691</v>
      </c>
      <c r="M6" s="11">
        <f t="shared" si="3"/>
        <v>0.89949159170903403</v>
      </c>
      <c r="N6" s="11">
        <f>+(D6-J6)/D6*100</f>
        <v>1.3558008909548713</v>
      </c>
      <c r="O6" s="14">
        <f t="shared" si="4"/>
        <v>757.57575757575762</v>
      </c>
    </row>
    <row r="7" spans="1:16" x14ac:dyDescent="0.25">
      <c r="A7" s="17" t="s">
        <v>114</v>
      </c>
      <c r="B7" s="11">
        <v>37</v>
      </c>
      <c r="C7" s="11">
        <v>5333</v>
      </c>
      <c r="D7" s="16">
        <f t="shared" si="1"/>
        <v>5370</v>
      </c>
      <c r="E7" s="14">
        <v>33</v>
      </c>
      <c r="F7" s="14">
        <f t="shared" si="2"/>
        <v>1121.2121212121212</v>
      </c>
      <c r="H7" s="11">
        <v>19</v>
      </c>
      <c r="I7" s="16">
        <v>3063</v>
      </c>
      <c r="J7" s="16">
        <f t="shared" ref="J7:J12" si="5">+H7+I7</f>
        <v>3082</v>
      </c>
      <c r="K7" s="11">
        <v>33</v>
      </c>
      <c r="L7" s="11">
        <f t="shared" si="3"/>
        <v>48.648648648648653</v>
      </c>
      <c r="M7" s="11">
        <f t="shared" si="3"/>
        <v>42.565160322520157</v>
      </c>
      <c r="N7" s="11">
        <f t="shared" si="3"/>
        <v>42.607076350093109</v>
      </c>
      <c r="O7" s="14">
        <f t="shared" si="4"/>
        <v>575.75757575757575</v>
      </c>
    </row>
    <row r="8" spans="1:16" x14ac:dyDescent="0.25">
      <c r="A8" s="17" t="s">
        <v>112</v>
      </c>
      <c r="B8" s="11">
        <v>60</v>
      </c>
      <c r="C8" s="16">
        <v>5006</v>
      </c>
      <c r="D8" s="16">
        <f t="shared" si="1"/>
        <v>5066</v>
      </c>
      <c r="E8" s="14">
        <v>33</v>
      </c>
      <c r="F8" s="14">
        <f t="shared" si="2"/>
        <v>1818.1818181818182</v>
      </c>
      <c r="H8" s="11">
        <v>28</v>
      </c>
      <c r="I8" s="16">
        <v>3614</v>
      </c>
      <c r="J8" s="16">
        <f t="shared" si="5"/>
        <v>3642</v>
      </c>
      <c r="K8" s="11">
        <v>33</v>
      </c>
      <c r="L8" s="11">
        <f t="shared" si="3"/>
        <v>53.333333333333336</v>
      </c>
      <c r="M8" s="11">
        <f t="shared" si="3"/>
        <v>27.806632041550138</v>
      </c>
      <c r="N8" s="11">
        <f t="shared" si="3"/>
        <v>28.108961705487562</v>
      </c>
      <c r="O8" s="14">
        <f t="shared" si="4"/>
        <v>848.4848484848485</v>
      </c>
    </row>
    <row r="9" spans="1:16" x14ac:dyDescent="0.25">
      <c r="A9" s="17" t="s">
        <v>118</v>
      </c>
      <c r="B9" s="11">
        <v>42</v>
      </c>
      <c r="C9" s="16">
        <v>4452</v>
      </c>
      <c r="D9" s="16">
        <f t="shared" si="1"/>
        <v>4494</v>
      </c>
      <c r="E9" s="14">
        <v>33</v>
      </c>
      <c r="F9" s="14">
        <f t="shared" si="2"/>
        <v>1272.7272727272727</v>
      </c>
      <c r="H9" s="11">
        <v>17</v>
      </c>
      <c r="I9" s="16">
        <v>3479</v>
      </c>
      <c r="J9" s="16">
        <f t="shared" si="5"/>
        <v>3496</v>
      </c>
      <c r="K9" s="11">
        <v>33</v>
      </c>
      <c r="L9" s="11">
        <f t="shared" si="3"/>
        <v>59.523809523809526</v>
      </c>
      <c r="M9" s="11">
        <f t="shared" si="3"/>
        <v>21.855345911949687</v>
      </c>
      <c r="N9" s="11">
        <f t="shared" si="3"/>
        <v>22.207387627948375</v>
      </c>
      <c r="O9" s="14">
        <f t="shared" si="4"/>
        <v>515.15151515151513</v>
      </c>
    </row>
    <row r="10" spans="1:16" x14ac:dyDescent="0.25">
      <c r="A10" s="17" t="s">
        <v>119</v>
      </c>
      <c r="B10" s="11">
        <v>77</v>
      </c>
      <c r="C10" s="16">
        <v>3413</v>
      </c>
      <c r="D10" s="16">
        <f t="shared" si="1"/>
        <v>3490</v>
      </c>
      <c r="E10" s="14">
        <v>33</v>
      </c>
      <c r="F10" s="14">
        <f t="shared" si="2"/>
        <v>2333.3333333333335</v>
      </c>
      <c r="H10" s="11">
        <v>41</v>
      </c>
      <c r="I10" s="16">
        <v>3366</v>
      </c>
      <c r="J10" s="16">
        <f t="shared" si="5"/>
        <v>3407</v>
      </c>
      <c r="K10" s="11">
        <v>33</v>
      </c>
      <c r="L10" s="11">
        <f t="shared" si="3"/>
        <v>46.753246753246749</v>
      </c>
      <c r="M10" s="11">
        <f t="shared" si="3"/>
        <v>1.377087606211544</v>
      </c>
      <c r="N10" s="11">
        <f t="shared" si="3"/>
        <v>2.3782234957020054</v>
      </c>
      <c r="O10" s="14">
        <f t="shared" si="4"/>
        <v>1242.4242424242425</v>
      </c>
    </row>
    <row r="11" spans="1:16" x14ac:dyDescent="0.25">
      <c r="A11" s="17" t="s">
        <v>116</v>
      </c>
      <c r="B11" s="16">
        <v>70</v>
      </c>
      <c r="C11" s="16">
        <v>4595</v>
      </c>
      <c r="D11" s="16">
        <f t="shared" si="1"/>
        <v>4665</v>
      </c>
      <c r="E11" s="14">
        <v>33</v>
      </c>
      <c r="F11" s="14">
        <f t="shared" si="2"/>
        <v>2121.2121212121215</v>
      </c>
      <c r="H11" s="16">
        <v>18</v>
      </c>
      <c r="I11" s="16">
        <v>4571</v>
      </c>
      <c r="J11" s="16">
        <f t="shared" si="5"/>
        <v>4589</v>
      </c>
      <c r="K11" s="11">
        <v>33</v>
      </c>
      <c r="L11" s="11">
        <f t="shared" si="3"/>
        <v>74.285714285714292</v>
      </c>
      <c r="M11" s="11">
        <f t="shared" si="3"/>
        <v>0.52230685527747545</v>
      </c>
      <c r="N11" s="11">
        <f t="shared" si="3"/>
        <v>1.6291532690246517</v>
      </c>
      <c r="O11" s="14">
        <f t="shared" si="4"/>
        <v>545.4545454545455</v>
      </c>
    </row>
    <row r="12" spans="1:16" x14ac:dyDescent="0.25">
      <c r="A12" s="17" t="s">
        <v>117</v>
      </c>
      <c r="B12" s="11">
        <v>54</v>
      </c>
      <c r="C12" s="16">
        <v>5640</v>
      </c>
      <c r="D12" s="16">
        <f t="shared" si="1"/>
        <v>5694</v>
      </c>
      <c r="E12" s="14">
        <v>33</v>
      </c>
      <c r="F12" s="14">
        <f t="shared" si="2"/>
        <v>1636.3636363636365</v>
      </c>
      <c r="H12" s="11">
        <v>41</v>
      </c>
      <c r="I12" s="16">
        <v>4149</v>
      </c>
      <c r="J12" s="16">
        <f t="shared" si="5"/>
        <v>4190</v>
      </c>
      <c r="K12" s="11">
        <v>33</v>
      </c>
      <c r="L12" s="11">
        <f t="shared" si="3"/>
        <v>24.074074074074073</v>
      </c>
      <c r="M12" s="11">
        <f t="shared" si="3"/>
        <v>26.436170212765958</v>
      </c>
      <c r="N12" s="11">
        <f t="shared" si="3"/>
        <v>26.413768879522305</v>
      </c>
      <c r="O12" s="14">
        <f t="shared" si="4"/>
        <v>1242.4242424242425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1619.5286195286196</v>
      </c>
      <c r="G14" s="11">
        <f>_xlfn.STDEV.S(F4:F12)</f>
        <v>629.49232374551286</v>
      </c>
      <c r="L14" s="11">
        <f>AVERAGE(L4:L12)</f>
        <v>46.348542221558098</v>
      </c>
      <c r="M14" s="11">
        <f>AVERAGE(M4:M12)</f>
        <v>19.523508838343826</v>
      </c>
      <c r="N14" s="11">
        <f>AVERAGE(N4:N12)</f>
        <v>19.900848892522177</v>
      </c>
      <c r="O14" s="14">
        <f>AVERAGE(O4:O12)</f>
        <v>784.51178451178441</v>
      </c>
      <c r="P14" s="11">
        <f>_xlfn.STDEV.S(O4:O12)</f>
        <v>304.70915412117893</v>
      </c>
    </row>
    <row r="15" spans="1:16" x14ac:dyDescent="0.25">
      <c r="A15" s="11" t="s">
        <v>236</v>
      </c>
    </row>
    <row r="16" spans="1:16" x14ac:dyDescent="0.25">
      <c r="B16" s="11" t="s">
        <v>220</v>
      </c>
      <c r="C16" s="11" t="s">
        <v>221</v>
      </c>
      <c r="D16" s="11" t="s">
        <v>222</v>
      </c>
      <c r="E16" s="14" t="s">
        <v>1</v>
      </c>
      <c r="F16" s="14" t="s">
        <v>233</v>
      </c>
    </row>
    <row r="17" spans="1:6" x14ac:dyDescent="0.25">
      <c r="A17" s="11" t="s">
        <v>223</v>
      </c>
      <c r="B17" s="11">
        <v>37646</v>
      </c>
      <c r="C17" s="16">
        <v>13353</v>
      </c>
      <c r="D17" s="16">
        <f>+B17+C17</f>
        <v>50999</v>
      </c>
      <c r="E17" s="14">
        <v>33</v>
      </c>
      <c r="F17" s="14">
        <f>(1000/E17)*B17</f>
        <v>1140787.8787878789</v>
      </c>
    </row>
    <row r="18" spans="1:6" x14ac:dyDescent="0.25">
      <c r="B18" s="11" t="s">
        <v>257</v>
      </c>
      <c r="D18" s="16"/>
      <c r="E18" s="14"/>
      <c r="F18" s="14"/>
    </row>
    <row r="20" spans="1:6" x14ac:dyDescent="0.25">
      <c r="A20" s="11" t="s">
        <v>254</v>
      </c>
    </row>
    <row r="21" spans="1:6" x14ac:dyDescent="0.25">
      <c r="A21" s="11" t="s">
        <v>255</v>
      </c>
    </row>
    <row r="22" spans="1:6" x14ac:dyDescent="0.25">
      <c r="A22" s="11" t="s">
        <v>256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J31" sqref="J31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L1" s="11" t="e">
        <f>AVERAGE(#REF!)</f>
        <v>#REF!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129</v>
      </c>
      <c r="C4" s="16">
        <v>2338</v>
      </c>
      <c r="D4" s="16">
        <f>+B4+C4</f>
        <v>2467</v>
      </c>
      <c r="E4" s="14">
        <v>33</v>
      </c>
      <c r="F4" s="14">
        <f>(1000/E4)*B4</f>
        <v>3909.0909090909095</v>
      </c>
      <c r="H4" s="11">
        <v>77</v>
      </c>
      <c r="I4" s="16">
        <v>1666</v>
      </c>
      <c r="J4" s="16">
        <f t="shared" ref="J4:J5" si="0">+H4+I4</f>
        <v>1743</v>
      </c>
      <c r="K4" s="11">
        <v>33</v>
      </c>
      <c r="L4" s="11">
        <f>+(B4-H4)/B4*100</f>
        <v>40.310077519379846</v>
      </c>
      <c r="M4" s="11">
        <f>+(C4-I4)/C4*100</f>
        <v>28.742514970059879</v>
      </c>
      <c r="N4" s="11">
        <f>+(D4-J4)/D4*100</f>
        <v>29.347385488447507</v>
      </c>
      <c r="O4" s="14">
        <f>(1000/K4)*H4</f>
        <v>2333.3333333333335</v>
      </c>
    </row>
    <row r="5" spans="1:16" x14ac:dyDescent="0.25">
      <c r="A5" s="17" t="s">
        <v>113</v>
      </c>
      <c r="B5" s="11">
        <v>42</v>
      </c>
      <c r="C5" s="16">
        <v>5333</v>
      </c>
      <c r="D5" s="16">
        <f t="shared" ref="D5:D12" si="1">+B5+C5</f>
        <v>5375</v>
      </c>
      <c r="E5" s="14">
        <v>33</v>
      </c>
      <c r="F5" s="14">
        <f t="shared" ref="F5:F12" si="2">(1000/E5)*B5</f>
        <v>1272.7272727272727</v>
      </c>
      <c r="H5" s="11">
        <v>41</v>
      </c>
      <c r="I5" s="16">
        <v>4522</v>
      </c>
      <c r="J5" s="16">
        <f t="shared" si="0"/>
        <v>4563</v>
      </c>
      <c r="K5" s="11">
        <v>33</v>
      </c>
      <c r="L5" s="11">
        <f t="shared" ref="L5:N12" si="3">+(B5-H5)/B5*100</f>
        <v>2.3809523809523809</v>
      </c>
      <c r="M5" s="11">
        <f t="shared" si="3"/>
        <v>15.207200450028127</v>
      </c>
      <c r="N5" s="11">
        <f>+(D5-J5)/D5*100</f>
        <v>15.106976744186046</v>
      </c>
      <c r="O5" s="14">
        <f t="shared" ref="O5:O12" si="4">(1000/K5)*H5</f>
        <v>1242.4242424242425</v>
      </c>
    </row>
    <row r="6" spans="1:16" x14ac:dyDescent="0.25">
      <c r="A6" s="17" t="s">
        <v>115</v>
      </c>
      <c r="B6" s="11">
        <v>33</v>
      </c>
      <c r="C6" s="11">
        <v>15328</v>
      </c>
      <c r="D6" s="16">
        <f>+B6+C6</f>
        <v>15361</v>
      </c>
      <c r="E6" s="14">
        <v>33</v>
      </c>
      <c r="F6" s="14">
        <f t="shared" si="2"/>
        <v>1000</v>
      </c>
      <c r="H6" s="11">
        <v>32</v>
      </c>
      <c r="I6" s="16">
        <v>1651</v>
      </c>
      <c r="J6" s="16">
        <f>+H6+I6</f>
        <v>1683</v>
      </c>
      <c r="K6" s="11">
        <v>33</v>
      </c>
      <c r="L6" s="11">
        <f t="shared" si="3"/>
        <v>3.0303030303030303</v>
      </c>
      <c r="M6" s="11">
        <f t="shared" si="3"/>
        <v>89.228862212943625</v>
      </c>
      <c r="N6" s="11">
        <f>+(D6-J6)/D6*100</f>
        <v>89.043682051949745</v>
      </c>
      <c r="O6" s="14">
        <f t="shared" si="4"/>
        <v>969.69696969696975</v>
      </c>
    </row>
    <row r="7" spans="1:16" x14ac:dyDescent="0.25">
      <c r="A7" s="17" t="s">
        <v>114</v>
      </c>
      <c r="B7" s="11">
        <v>64</v>
      </c>
      <c r="C7" s="11">
        <v>4411</v>
      </c>
      <c r="D7" s="16">
        <f t="shared" si="1"/>
        <v>4475</v>
      </c>
      <c r="E7" s="14">
        <v>33</v>
      </c>
      <c r="F7" s="14">
        <f t="shared" si="2"/>
        <v>1939.3939393939395</v>
      </c>
      <c r="H7" s="11">
        <v>44</v>
      </c>
      <c r="I7" s="16">
        <v>2706</v>
      </c>
      <c r="J7" s="16">
        <f>+H7+I7</f>
        <v>2750</v>
      </c>
      <c r="K7" s="11">
        <v>33</v>
      </c>
      <c r="L7" s="11">
        <f t="shared" si="3"/>
        <v>31.25</v>
      </c>
      <c r="M7" s="11">
        <f t="shared" si="3"/>
        <v>38.65336658354115</v>
      </c>
      <c r="N7" s="11">
        <f t="shared" si="3"/>
        <v>38.547486033519554</v>
      </c>
      <c r="O7" s="14">
        <f t="shared" si="4"/>
        <v>1333.3333333333335</v>
      </c>
    </row>
    <row r="8" spans="1:16" x14ac:dyDescent="0.25">
      <c r="A8" s="17" t="s">
        <v>112</v>
      </c>
      <c r="B8" s="11">
        <v>94</v>
      </c>
      <c r="C8" s="16">
        <v>4149</v>
      </c>
      <c r="D8" s="16">
        <f t="shared" si="1"/>
        <v>4243</v>
      </c>
      <c r="E8" s="14">
        <v>33</v>
      </c>
      <c r="F8" s="14">
        <f t="shared" si="2"/>
        <v>2848.4848484848485</v>
      </c>
      <c r="H8" s="11">
        <v>58</v>
      </c>
      <c r="I8" s="16">
        <v>2400</v>
      </c>
      <c r="J8" s="16">
        <f t="shared" ref="J8:J12" si="5">+H8+I8</f>
        <v>2458</v>
      </c>
      <c r="K8" s="11">
        <v>33</v>
      </c>
      <c r="L8" s="11">
        <f t="shared" si="3"/>
        <v>38.297872340425535</v>
      </c>
      <c r="M8" s="11">
        <f t="shared" si="3"/>
        <v>42.154736080983369</v>
      </c>
      <c r="N8" s="11">
        <f t="shared" si="3"/>
        <v>42.069290596276218</v>
      </c>
      <c r="O8" s="14">
        <f t="shared" si="4"/>
        <v>1757.5757575757577</v>
      </c>
    </row>
    <row r="9" spans="1:16" x14ac:dyDescent="0.25">
      <c r="A9" s="17" t="s">
        <v>118</v>
      </c>
      <c r="B9" s="11">
        <v>40</v>
      </c>
      <c r="C9" s="16">
        <v>4186</v>
      </c>
      <c r="D9" s="16">
        <f t="shared" si="1"/>
        <v>4226</v>
      </c>
      <c r="E9" s="14">
        <v>33</v>
      </c>
      <c r="F9" s="14">
        <f t="shared" si="2"/>
        <v>1212.1212121212122</v>
      </c>
      <c r="H9" s="11">
        <v>658</v>
      </c>
      <c r="I9" s="16">
        <v>107232</v>
      </c>
      <c r="J9" s="16">
        <f t="shared" si="5"/>
        <v>107890</v>
      </c>
      <c r="K9" s="11">
        <v>33</v>
      </c>
      <c r="O9" s="14">
        <f t="shared" si="4"/>
        <v>19939.39393939394</v>
      </c>
    </row>
    <row r="10" spans="1:16" x14ac:dyDescent="0.25">
      <c r="A10" s="17" t="s">
        <v>119</v>
      </c>
      <c r="B10" s="11">
        <v>110</v>
      </c>
      <c r="C10" s="16">
        <v>3510</v>
      </c>
      <c r="D10" s="16">
        <f t="shared" si="1"/>
        <v>3620</v>
      </c>
      <c r="E10" s="14">
        <v>33</v>
      </c>
      <c r="F10" s="14">
        <f t="shared" si="2"/>
        <v>3333.3333333333335</v>
      </c>
      <c r="H10" s="11">
        <v>84</v>
      </c>
      <c r="I10" s="16">
        <v>2967</v>
      </c>
      <c r="J10" s="16">
        <f t="shared" si="5"/>
        <v>3051</v>
      </c>
      <c r="K10" s="11">
        <v>33</v>
      </c>
      <c r="L10" s="11">
        <f t="shared" si="3"/>
        <v>23.636363636363637</v>
      </c>
      <c r="M10" s="11">
        <f t="shared" si="3"/>
        <v>15.47008547008547</v>
      </c>
      <c r="N10" s="11">
        <f t="shared" si="3"/>
        <v>15.718232044198896</v>
      </c>
      <c r="O10" s="14">
        <f t="shared" si="4"/>
        <v>2545.4545454545455</v>
      </c>
    </row>
    <row r="11" spans="1:16" x14ac:dyDescent="0.25">
      <c r="A11" s="17" t="s">
        <v>116</v>
      </c>
      <c r="B11" s="16">
        <v>342</v>
      </c>
      <c r="C11" s="16">
        <v>2153</v>
      </c>
      <c r="D11" s="16">
        <f t="shared" si="1"/>
        <v>2495</v>
      </c>
      <c r="E11" s="14">
        <v>33</v>
      </c>
      <c r="F11" s="14">
        <f t="shared" si="2"/>
        <v>10363.636363636364</v>
      </c>
      <c r="H11" s="16">
        <v>36</v>
      </c>
      <c r="I11" s="16">
        <v>1824</v>
      </c>
      <c r="J11" s="16">
        <f t="shared" si="5"/>
        <v>1860</v>
      </c>
      <c r="K11" s="11">
        <v>33</v>
      </c>
      <c r="L11" s="11">
        <f t="shared" si="3"/>
        <v>89.473684210526315</v>
      </c>
      <c r="M11" s="11">
        <f t="shared" si="3"/>
        <v>15.281003251277287</v>
      </c>
      <c r="N11" s="11">
        <f t="shared" si="3"/>
        <v>25.450901803607213</v>
      </c>
      <c r="O11" s="14">
        <f t="shared" si="4"/>
        <v>1090.909090909091</v>
      </c>
    </row>
    <row r="12" spans="1:16" x14ac:dyDescent="0.25">
      <c r="A12" s="17" t="s">
        <v>117</v>
      </c>
      <c r="B12" s="11">
        <v>62</v>
      </c>
      <c r="C12" s="16">
        <v>1870</v>
      </c>
      <c r="D12" s="16">
        <f t="shared" si="1"/>
        <v>1932</v>
      </c>
      <c r="E12" s="14">
        <v>33</v>
      </c>
      <c r="F12" s="14">
        <f t="shared" si="2"/>
        <v>1878.787878787879</v>
      </c>
      <c r="H12" s="11">
        <v>44</v>
      </c>
      <c r="I12" s="16">
        <v>1764</v>
      </c>
      <c r="J12" s="16">
        <f t="shared" si="5"/>
        <v>1808</v>
      </c>
      <c r="K12" s="11">
        <v>33</v>
      </c>
      <c r="L12" s="11">
        <f t="shared" si="3"/>
        <v>29.032258064516132</v>
      </c>
      <c r="M12" s="11">
        <f t="shared" si="3"/>
        <v>5.668449197860963</v>
      </c>
      <c r="N12" s="11">
        <f t="shared" si="3"/>
        <v>6.4182194616977233</v>
      </c>
      <c r="O12" s="14">
        <f t="shared" si="4"/>
        <v>1333.3333333333335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3084.1750841750845</v>
      </c>
      <c r="G14" s="11">
        <f>_xlfn.STDEV.S(F4:F12)</f>
        <v>2908.6480793708251</v>
      </c>
      <c r="L14" s="11">
        <f>AVERAGE(L4:L12)</f>
        <v>32.17643889780836</v>
      </c>
      <c r="M14" s="11">
        <f>AVERAGE(M4:M12)</f>
        <v>31.300777277097488</v>
      </c>
      <c r="N14" s="11">
        <f>AVERAGE(N4:N12)</f>
        <v>32.712771777985367</v>
      </c>
      <c r="O14" s="14">
        <f>AVERAGE(O4:O12)</f>
        <v>3616.1616161616162</v>
      </c>
      <c r="P14" s="11">
        <f>_xlfn.STDEV.S(O4:O12)</f>
        <v>6145.4478214056817</v>
      </c>
    </row>
    <row r="15" spans="1:16" x14ac:dyDescent="0.25">
      <c r="A15" s="11" t="s">
        <v>236</v>
      </c>
    </row>
    <row r="16" spans="1:16" x14ac:dyDescent="0.25">
      <c r="B16" s="11" t="s">
        <v>220</v>
      </c>
      <c r="C16" s="11" t="s">
        <v>221</v>
      </c>
      <c r="D16" s="11" t="s">
        <v>222</v>
      </c>
      <c r="E16" s="14" t="s">
        <v>1</v>
      </c>
      <c r="F16" s="14" t="s">
        <v>233</v>
      </c>
    </row>
    <row r="17" spans="1:6" x14ac:dyDescent="0.25">
      <c r="A17" s="11" t="s">
        <v>223</v>
      </c>
      <c r="B17" s="11">
        <v>54264</v>
      </c>
      <c r="C17" s="16">
        <v>21072</v>
      </c>
      <c r="D17" s="16">
        <f>+B17+C17</f>
        <v>75336</v>
      </c>
      <c r="E17" s="14">
        <v>33</v>
      </c>
      <c r="F17" s="14">
        <f>(1000/E17)*B17</f>
        <v>1644363.6363636365</v>
      </c>
    </row>
    <row r="18" spans="1:6" x14ac:dyDescent="0.25">
      <c r="B18" s="11" t="s">
        <v>257</v>
      </c>
      <c r="D18" s="16"/>
      <c r="E18" s="14"/>
      <c r="F18" s="14"/>
    </row>
    <row r="20" spans="1:6" x14ac:dyDescent="0.25">
      <c r="A20" s="11" t="s">
        <v>254</v>
      </c>
    </row>
    <row r="21" spans="1:6" x14ac:dyDescent="0.25">
      <c r="A21" s="11" t="s">
        <v>255</v>
      </c>
    </row>
    <row r="22" spans="1:6" x14ac:dyDescent="0.25">
      <c r="A22" s="11" t="s">
        <v>256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B17" sqref="B17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L1" s="11" t="e">
        <f>AVERAGE(#REF!)</f>
        <v>#REF!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104</v>
      </c>
      <c r="C4" s="16">
        <v>5037</v>
      </c>
      <c r="D4" s="16">
        <f>+B4+C4</f>
        <v>5141</v>
      </c>
      <c r="E4" s="14">
        <v>33</v>
      </c>
      <c r="F4" s="14">
        <f>(1000/E4)*B4</f>
        <v>3151.5151515151515</v>
      </c>
      <c r="H4" s="11">
        <v>49</v>
      </c>
      <c r="I4" s="16">
        <v>3467</v>
      </c>
      <c r="J4" s="16">
        <f t="shared" ref="J4:J5" si="0">+H4+I4</f>
        <v>3516</v>
      </c>
      <c r="K4" s="11">
        <v>33</v>
      </c>
      <c r="L4" s="11">
        <f>+(B4-H4)/B4*100</f>
        <v>52.884615384615387</v>
      </c>
      <c r="M4" s="11">
        <f>+(C4-I4)/C4*100</f>
        <v>31.169346833432598</v>
      </c>
      <c r="N4" s="11">
        <f>+(D4-J4)/D4*100</f>
        <v>31.608636452052131</v>
      </c>
      <c r="O4" s="14">
        <f>(1000/K4)*H4</f>
        <v>1484.848484848485</v>
      </c>
    </row>
    <row r="5" spans="1:16" x14ac:dyDescent="0.25">
      <c r="A5" s="17" t="s">
        <v>113</v>
      </c>
      <c r="B5" s="11">
        <v>26</v>
      </c>
      <c r="C5" s="16">
        <v>4266</v>
      </c>
      <c r="D5" s="16">
        <f t="shared" ref="D5:D12" si="1">+B5+C5</f>
        <v>4292</v>
      </c>
      <c r="E5" s="14">
        <v>33</v>
      </c>
      <c r="F5" s="14">
        <f t="shared" ref="F5:F12" si="2">(1000/E5)*B5</f>
        <v>787.87878787878788</v>
      </c>
      <c r="H5" s="11">
        <v>68</v>
      </c>
      <c r="I5" s="16">
        <v>3611</v>
      </c>
      <c r="J5" s="16">
        <f t="shared" si="0"/>
        <v>3679</v>
      </c>
      <c r="K5" s="11">
        <v>33</v>
      </c>
      <c r="M5" s="11">
        <f t="shared" ref="L5:N12" si="3">+(C5-I5)/C5*100</f>
        <v>15.3539615564932</v>
      </c>
      <c r="N5" s="11">
        <f>+(D5-J5)/D5*100</f>
        <v>14.282385834109974</v>
      </c>
      <c r="O5" s="14">
        <f t="shared" ref="O5:O12" si="4">(1000/K5)*H5</f>
        <v>2060.6060606060605</v>
      </c>
    </row>
    <row r="6" spans="1:16" x14ac:dyDescent="0.25">
      <c r="A6" s="17" t="s">
        <v>115</v>
      </c>
      <c r="B6" s="11">
        <v>49</v>
      </c>
      <c r="C6" s="11">
        <v>7722</v>
      </c>
      <c r="D6" s="16">
        <f>+B6+C6</f>
        <v>7771</v>
      </c>
      <c r="E6" s="14">
        <v>33</v>
      </c>
      <c r="F6" s="14">
        <f t="shared" si="2"/>
        <v>1484.848484848485</v>
      </c>
      <c r="H6" s="11">
        <v>31</v>
      </c>
      <c r="I6" s="16">
        <v>2605</v>
      </c>
      <c r="J6" s="16">
        <f>+H6+I6</f>
        <v>2636</v>
      </c>
      <c r="K6" s="11">
        <v>33</v>
      </c>
      <c r="L6" s="11">
        <f t="shared" si="3"/>
        <v>36.734693877551024</v>
      </c>
      <c r="M6" s="11">
        <f t="shared" si="3"/>
        <v>66.265216265216267</v>
      </c>
      <c r="N6" s="11">
        <f>+(D6-J6)/D6*100</f>
        <v>66.079011710204611</v>
      </c>
      <c r="O6" s="14">
        <f t="shared" si="4"/>
        <v>939.39393939393949</v>
      </c>
    </row>
    <row r="7" spans="1:16" x14ac:dyDescent="0.25">
      <c r="A7" s="17" t="s">
        <v>114</v>
      </c>
      <c r="B7" s="11">
        <v>29</v>
      </c>
      <c r="C7" s="11">
        <v>6591</v>
      </c>
      <c r="D7" s="16">
        <f t="shared" si="1"/>
        <v>6620</v>
      </c>
      <c r="E7" s="14">
        <v>33</v>
      </c>
      <c r="F7" s="14">
        <f t="shared" si="2"/>
        <v>878.78787878787887</v>
      </c>
      <c r="H7" s="11">
        <v>23</v>
      </c>
      <c r="I7" s="16">
        <v>3413</v>
      </c>
      <c r="J7" s="16">
        <f>+H7+I7</f>
        <v>3436</v>
      </c>
      <c r="K7" s="11">
        <v>33</v>
      </c>
      <c r="L7" s="11">
        <f t="shared" si="3"/>
        <v>20.689655172413794</v>
      </c>
      <c r="M7" s="11">
        <f t="shared" si="3"/>
        <v>48.217265968745259</v>
      </c>
      <c r="N7" s="11">
        <f t="shared" si="3"/>
        <v>48.096676737160124</v>
      </c>
      <c r="O7" s="14">
        <f t="shared" si="4"/>
        <v>696.969696969697</v>
      </c>
    </row>
    <row r="8" spans="1:16" x14ac:dyDescent="0.25">
      <c r="A8" s="17" t="s">
        <v>112</v>
      </c>
      <c r="B8" s="11">
        <v>61</v>
      </c>
      <c r="C8" s="16">
        <v>5937</v>
      </c>
      <c r="D8" s="16">
        <f t="shared" si="1"/>
        <v>5998</v>
      </c>
      <c r="E8" s="14">
        <v>33</v>
      </c>
      <c r="F8" s="14">
        <f t="shared" si="2"/>
        <v>1848.4848484848485</v>
      </c>
      <c r="H8" s="11">
        <v>21</v>
      </c>
      <c r="I8" s="16">
        <v>2292</v>
      </c>
      <c r="J8" s="16">
        <f t="shared" ref="J8:J12" si="5">+H8+I8</f>
        <v>2313</v>
      </c>
      <c r="K8" s="11">
        <v>33</v>
      </c>
      <c r="L8" s="11">
        <f t="shared" si="3"/>
        <v>65.573770491803273</v>
      </c>
      <c r="M8" s="11">
        <f t="shared" si="3"/>
        <v>61.394643759474491</v>
      </c>
      <c r="N8" s="11">
        <f t="shared" si="3"/>
        <v>61.437145715238415</v>
      </c>
      <c r="O8" s="14">
        <f t="shared" si="4"/>
        <v>636.36363636363637</v>
      </c>
    </row>
    <row r="9" spans="1:16" x14ac:dyDescent="0.25">
      <c r="A9" s="17" t="s">
        <v>118</v>
      </c>
      <c r="B9" s="11">
        <v>48</v>
      </c>
      <c r="C9" s="16">
        <v>5391</v>
      </c>
      <c r="D9" s="16">
        <f t="shared" si="1"/>
        <v>5439</v>
      </c>
      <c r="E9" s="14">
        <v>33</v>
      </c>
      <c r="F9" s="14">
        <f t="shared" si="2"/>
        <v>1454.5454545454545</v>
      </c>
      <c r="H9" s="11">
        <v>22</v>
      </c>
      <c r="I9" s="16">
        <v>2502</v>
      </c>
      <c r="J9" s="16">
        <f t="shared" si="5"/>
        <v>2524</v>
      </c>
      <c r="K9" s="11">
        <v>33</v>
      </c>
      <c r="L9" s="11">
        <f t="shared" si="3"/>
        <v>54.166666666666664</v>
      </c>
      <c r="M9" s="11">
        <f t="shared" si="3"/>
        <v>53.589315525876458</v>
      </c>
      <c r="N9" s="11">
        <f t="shared" si="3"/>
        <v>53.594410737267886</v>
      </c>
      <c r="O9" s="14">
        <f t="shared" si="4"/>
        <v>666.66666666666674</v>
      </c>
    </row>
    <row r="10" spans="1:16" x14ac:dyDescent="0.25">
      <c r="A10" s="17" t="s">
        <v>119</v>
      </c>
      <c r="B10" s="11">
        <v>85</v>
      </c>
      <c r="C10" s="16">
        <v>3978</v>
      </c>
      <c r="D10" s="16">
        <f t="shared" si="1"/>
        <v>4063</v>
      </c>
      <c r="E10" s="14">
        <v>33</v>
      </c>
      <c r="F10" s="14">
        <f t="shared" si="2"/>
        <v>2575.757575757576</v>
      </c>
      <c r="H10" s="11">
        <v>25</v>
      </c>
      <c r="I10" s="16">
        <v>3656</v>
      </c>
      <c r="J10" s="16">
        <f t="shared" si="5"/>
        <v>3681</v>
      </c>
      <c r="K10" s="11">
        <v>33</v>
      </c>
      <c r="L10" s="11">
        <f t="shared" si="3"/>
        <v>70.588235294117652</v>
      </c>
      <c r="M10" s="11">
        <f t="shared" si="3"/>
        <v>8.0945198592257412</v>
      </c>
      <c r="N10" s="11">
        <f t="shared" si="3"/>
        <v>9.4019197637213878</v>
      </c>
      <c r="O10" s="14">
        <f t="shared" si="4"/>
        <v>757.57575757575762</v>
      </c>
    </row>
    <row r="11" spans="1:16" x14ac:dyDescent="0.25">
      <c r="A11" s="17" t="s">
        <v>116</v>
      </c>
      <c r="B11" s="16">
        <v>42</v>
      </c>
      <c r="C11" s="16">
        <v>3147</v>
      </c>
      <c r="D11" s="16">
        <f t="shared" si="1"/>
        <v>3189</v>
      </c>
      <c r="E11" s="14">
        <v>33</v>
      </c>
      <c r="F11" s="14">
        <f t="shared" si="2"/>
        <v>1272.7272727272727</v>
      </c>
      <c r="H11" s="16">
        <v>10</v>
      </c>
      <c r="I11" s="16">
        <v>2450</v>
      </c>
      <c r="J11" s="16">
        <f t="shared" si="5"/>
        <v>2460</v>
      </c>
      <c r="K11" s="11">
        <v>33</v>
      </c>
      <c r="L11" s="11">
        <f t="shared" si="3"/>
        <v>76.19047619047619</v>
      </c>
      <c r="M11" s="11">
        <f t="shared" si="3"/>
        <v>22.148077534159516</v>
      </c>
      <c r="N11" s="11">
        <f t="shared" si="3"/>
        <v>22.859830667920978</v>
      </c>
      <c r="O11" s="14">
        <f t="shared" si="4"/>
        <v>303.03030303030306</v>
      </c>
    </row>
    <row r="12" spans="1:16" x14ac:dyDescent="0.25">
      <c r="A12" s="17" t="s">
        <v>117</v>
      </c>
      <c r="B12" s="11">
        <v>32</v>
      </c>
      <c r="C12" s="16">
        <v>3471</v>
      </c>
      <c r="D12" s="16">
        <f t="shared" si="1"/>
        <v>3503</v>
      </c>
      <c r="E12" s="14">
        <v>33</v>
      </c>
      <c r="F12" s="14">
        <f t="shared" si="2"/>
        <v>969.69696969696975</v>
      </c>
      <c r="H12" s="11">
        <v>10</v>
      </c>
      <c r="I12" s="16">
        <v>2552</v>
      </c>
      <c r="J12" s="16">
        <f t="shared" si="5"/>
        <v>2562</v>
      </c>
      <c r="K12" s="11">
        <v>33</v>
      </c>
      <c r="L12" s="11">
        <f t="shared" si="3"/>
        <v>68.75</v>
      </c>
      <c r="M12" s="11">
        <f t="shared" si="3"/>
        <v>26.476519734946702</v>
      </c>
      <c r="N12" s="11">
        <f t="shared" si="3"/>
        <v>26.862689123608334</v>
      </c>
      <c r="O12" s="14">
        <f t="shared" si="4"/>
        <v>303.03030303030306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1602.6936026936028</v>
      </c>
      <c r="G14" s="11">
        <f>_xlfn.STDEV.S(F4:F12)</f>
        <v>801.52008425537872</v>
      </c>
      <c r="L14" s="11">
        <f>AVERAGE(L4:L12)</f>
        <v>55.697264134705499</v>
      </c>
      <c r="M14" s="11">
        <f>AVERAGE(M4:M12)</f>
        <v>36.967651893063362</v>
      </c>
      <c r="N14" s="11">
        <f>AVERAGE(N4:N12)</f>
        <v>37.135856304587087</v>
      </c>
      <c r="O14" s="14">
        <f>AVERAGE(O4:O12)</f>
        <v>872.05387205387206</v>
      </c>
      <c r="P14" s="11">
        <f>_xlfn.STDEV.S(O4:O12)</f>
        <v>568.08641174298475</v>
      </c>
    </row>
    <row r="15" spans="1:16" x14ac:dyDescent="0.25">
      <c r="A15" s="11" t="s">
        <v>236</v>
      </c>
    </row>
    <row r="16" spans="1:16" x14ac:dyDescent="0.25">
      <c r="B16" s="11" t="s">
        <v>220</v>
      </c>
      <c r="C16" s="11" t="s">
        <v>221</v>
      </c>
      <c r="D16" s="11" t="s">
        <v>222</v>
      </c>
      <c r="E16" s="14" t="s">
        <v>1</v>
      </c>
      <c r="F16" s="14" t="s">
        <v>233</v>
      </c>
    </row>
    <row r="17" spans="1:6" x14ac:dyDescent="0.25">
      <c r="A17" s="11" t="s">
        <v>223</v>
      </c>
      <c r="B17" s="11">
        <v>13947</v>
      </c>
      <c r="C17" s="16">
        <v>9495</v>
      </c>
      <c r="D17" s="16">
        <f>+B17+C17</f>
        <v>23442</v>
      </c>
      <c r="E17" s="14">
        <v>33</v>
      </c>
      <c r="F17" s="14">
        <f>(1000/E17)*B17</f>
        <v>422636.36363636365</v>
      </c>
    </row>
    <row r="18" spans="1:6" x14ac:dyDescent="0.25">
      <c r="B18" s="11" t="s">
        <v>257</v>
      </c>
      <c r="D18" s="16"/>
      <c r="E18" s="14"/>
      <c r="F18" s="14"/>
    </row>
    <row r="20" spans="1:6" x14ac:dyDescent="0.25">
      <c r="A20" s="11" t="s">
        <v>254</v>
      </c>
    </row>
    <row r="21" spans="1:6" x14ac:dyDescent="0.25">
      <c r="A21" s="11" t="s">
        <v>255</v>
      </c>
    </row>
    <row r="22" spans="1:6" x14ac:dyDescent="0.25">
      <c r="A22" s="11" t="s">
        <v>256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27" sqref="E27"/>
    </sheetView>
  </sheetViews>
  <sheetFormatPr defaultRowHeight="15" x14ac:dyDescent="0.25"/>
  <cols>
    <col min="1" max="1" width="9.7109375" bestFit="1" customWidth="1"/>
    <col min="3" max="3" width="10" bestFit="1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/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44411</v>
      </c>
      <c r="B4">
        <v>1</v>
      </c>
      <c r="C4" s="1"/>
      <c r="D4">
        <v>33</v>
      </c>
      <c r="E4">
        <f>+C4/33*1000</f>
        <v>0</v>
      </c>
      <c r="G4" s="2">
        <v>44412</v>
      </c>
      <c r="H4">
        <v>1</v>
      </c>
      <c r="J4">
        <v>33</v>
      </c>
      <c r="K4">
        <f t="shared" ref="K4:K18" si="0">+I4/J4*1000</f>
        <v>0</v>
      </c>
      <c r="L4">
        <f>+E4-K4</f>
        <v>0</v>
      </c>
      <c r="M4">
        <f>+L4/17.8333</f>
        <v>0</v>
      </c>
      <c r="N4">
        <f>AVERAGE(M4:M8)</f>
        <v>0</v>
      </c>
    </row>
    <row r="5" spans="1:14" x14ac:dyDescent="0.25">
      <c r="A5" s="2">
        <v>44411</v>
      </c>
      <c r="B5">
        <v>2</v>
      </c>
      <c r="D5">
        <v>33</v>
      </c>
      <c r="E5">
        <f t="shared" ref="E5:E18" si="1">+C5/33*1000</f>
        <v>0</v>
      </c>
      <c r="G5" s="2">
        <v>44412</v>
      </c>
      <c r="H5">
        <v>2</v>
      </c>
      <c r="J5">
        <v>33</v>
      </c>
      <c r="K5">
        <f t="shared" si="0"/>
        <v>0</v>
      </c>
      <c r="L5">
        <f>+E5-K5</f>
        <v>0</v>
      </c>
      <c r="M5">
        <f t="shared" ref="M5:M8" si="2">+L5/17.8333</f>
        <v>0</v>
      </c>
    </row>
    <row r="6" spans="1:14" x14ac:dyDescent="0.25">
      <c r="A6" s="2">
        <v>44411</v>
      </c>
      <c r="B6">
        <v>3</v>
      </c>
      <c r="D6">
        <v>33</v>
      </c>
      <c r="E6">
        <f t="shared" si="1"/>
        <v>0</v>
      </c>
      <c r="G6" s="2">
        <v>44412</v>
      </c>
      <c r="H6">
        <v>3</v>
      </c>
      <c r="J6">
        <v>33</v>
      </c>
      <c r="K6">
        <f t="shared" si="0"/>
        <v>0</v>
      </c>
      <c r="L6">
        <f t="shared" ref="L6:L18" si="3">+E6-K6</f>
        <v>0</v>
      </c>
      <c r="M6">
        <f t="shared" si="2"/>
        <v>0</v>
      </c>
    </row>
    <row r="7" spans="1:14" x14ac:dyDescent="0.25">
      <c r="A7" s="2">
        <v>44411</v>
      </c>
      <c r="B7">
        <v>4</v>
      </c>
      <c r="D7">
        <v>33</v>
      </c>
      <c r="E7">
        <f t="shared" si="1"/>
        <v>0</v>
      </c>
      <c r="G7" s="2">
        <v>44412</v>
      </c>
      <c r="H7">
        <v>4</v>
      </c>
      <c r="J7">
        <v>33</v>
      </c>
      <c r="K7">
        <f t="shared" si="0"/>
        <v>0</v>
      </c>
      <c r="L7">
        <f t="shared" si="3"/>
        <v>0</v>
      </c>
      <c r="M7">
        <f t="shared" si="2"/>
        <v>0</v>
      </c>
    </row>
    <row r="8" spans="1:14" x14ac:dyDescent="0.25">
      <c r="A8" s="2">
        <v>44411</v>
      </c>
      <c r="B8">
        <v>5</v>
      </c>
      <c r="D8">
        <v>33</v>
      </c>
      <c r="E8">
        <f t="shared" si="1"/>
        <v>0</v>
      </c>
      <c r="G8" s="2">
        <v>44412</v>
      </c>
      <c r="H8">
        <v>5</v>
      </c>
      <c r="J8">
        <v>33</v>
      </c>
      <c r="K8">
        <f t="shared" si="0"/>
        <v>0</v>
      </c>
      <c r="L8">
        <f t="shared" si="3"/>
        <v>0</v>
      </c>
      <c r="M8">
        <f t="shared" si="2"/>
        <v>0</v>
      </c>
    </row>
    <row r="9" spans="1:14" x14ac:dyDescent="0.25">
      <c r="A9" s="2">
        <v>44411</v>
      </c>
      <c r="B9">
        <v>6</v>
      </c>
      <c r="D9">
        <v>33</v>
      </c>
      <c r="E9">
        <f t="shared" si="1"/>
        <v>0</v>
      </c>
      <c r="G9" s="2">
        <v>44412</v>
      </c>
      <c r="H9">
        <v>6</v>
      </c>
      <c r="J9">
        <v>33</v>
      </c>
      <c r="K9">
        <f t="shared" si="0"/>
        <v>0</v>
      </c>
      <c r="L9">
        <f t="shared" si="3"/>
        <v>0</v>
      </c>
      <c r="M9">
        <f>+L9/19.3333</f>
        <v>0</v>
      </c>
      <c r="N9">
        <f>AVERAGE(M9:M13)</f>
        <v>0</v>
      </c>
    </row>
    <row r="10" spans="1:14" x14ac:dyDescent="0.25">
      <c r="A10" s="2">
        <v>44411</v>
      </c>
      <c r="B10">
        <v>7</v>
      </c>
      <c r="D10">
        <v>33</v>
      </c>
      <c r="E10">
        <f t="shared" si="1"/>
        <v>0</v>
      </c>
      <c r="G10" s="2">
        <v>44412</v>
      </c>
      <c r="H10">
        <v>7</v>
      </c>
      <c r="J10">
        <v>33</v>
      </c>
      <c r="K10">
        <f t="shared" si="0"/>
        <v>0</v>
      </c>
      <c r="L10">
        <f t="shared" si="3"/>
        <v>0</v>
      </c>
      <c r="M10">
        <f t="shared" ref="M10:M18" si="4">+L10/19.3333</f>
        <v>0</v>
      </c>
    </row>
    <row r="11" spans="1:14" x14ac:dyDescent="0.25">
      <c r="A11" s="2">
        <v>44411</v>
      </c>
      <c r="B11">
        <v>8</v>
      </c>
      <c r="D11">
        <v>33</v>
      </c>
      <c r="E11">
        <f t="shared" si="1"/>
        <v>0</v>
      </c>
      <c r="G11" s="2">
        <v>44412</v>
      </c>
      <c r="H11">
        <v>8</v>
      </c>
      <c r="J11">
        <v>33</v>
      </c>
      <c r="K11">
        <f t="shared" si="0"/>
        <v>0</v>
      </c>
      <c r="L11">
        <f t="shared" si="3"/>
        <v>0</v>
      </c>
      <c r="M11">
        <f t="shared" si="4"/>
        <v>0</v>
      </c>
    </row>
    <row r="12" spans="1:14" x14ac:dyDescent="0.25">
      <c r="A12" s="2">
        <v>44411</v>
      </c>
      <c r="B12">
        <v>9</v>
      </c>
      <c r="D12">
        <v>33</v>
      </c>
      <c r="E12">
        <f t="shared" si="1"/>
        <v>0</v>
      </c>
      <c r="G12" s="2">
        <v>44412</v>
      </c>
      <c r="H12">
        <v>9</v>
      </c>
      <c r="J12">
        <v>33</v>
      </c>
      <c r="K12">
        <f t="shared" si="0"/>
        <v>0</v>
      </c>
      <c r="L12">
        <f t="shared" si="3"/>
        <v>0</v>
      </c>
      <c r="M12">
        <f t="shared" si="4"/>
        <v>0</v>
      </c>
    </row>
    <row r="13" spans="1:14" x14ac:dyDescent="0.25">
      <c r="A13" s="2">
        <v>44411</v>
      </c>
      <c r="B13">
        <v>10</v>
      </c>
      <c r="D13">
        <v>33</v>
      </c>
      <c r="E13">
        <f t="shared" si="1"/>
        <v>0</v>
      </c>
      <c r="G13" s="2">
        <v>44412</v>
      </c>
      <c r="H13">
        <v>10</v>
      </c>
      <c r="J13">
        <v>33</v>
      </c>
      <c r="K13">
        <f t="shared" si="0"/>
        <v>0</v>
      </c>
      <c r="L13">
        <f t="shared" si="3"/>
        <v>0</v>
      </c>
      <c r="M13">
        <f t="shared" si="4"/>
        <v>0</v>
      </c>
    </row>
    <row r="14" spans="1:14" x14ac:dyDescent="0.25">
      <c r="A14" s="2">
        <v>44411</v>
      </c>
      <c r="B14">
        <v>11</v>
      </c>
      <c r="D14">
        <v>33</v>
      </c>
      <c r="E14">
        <f t="shared" si="1"/>
        <v>0</v>
      </c>
      <c r="G14" s="2">
        <v>44412</v>
      </c>
      <c r="H14">
        <v>11</v>
      </c>
      <c r="J14">
        <v>33</v>
      </c>
      <c r="K14">
        <f>+I14/J14*1000</f>
        <v>0</v>
      </c>
      <c r="L14">
        <f t="shared" si="3"/>
        <v>0</v>
      </c>
      <c r="M14">
        <f t="shared" si="4"/>
        <v>0</v>
      </c>
      <c r="N14">
        <f>AVERAGE(M14:M18)</f>
        <v>0</v>
      </c>
    </row>
    <row r="15" spans="1:14" x14ac:dyDescent="0.25">
      <c r="A15" s="2">
        <v>44411</v>
      </c>
      <c r="B15">
        <v>12</v>
      </c>
      <c r="D15">
        <v>33</v>
      </c>
      <c r="E15">
        <f t="shared" si="1"/>
        <v>0</v>
      </c>
      <c r="G15" s="2">
        <v>44412</v>
      </c>
      <c r="H15">
        <v>12</v>
      </c>
      <c r="J15">
        <v>33</v>
      </c>
      <c r="K15">
        <f t="shared" si="0"/>
        <v>0</v>
      </c>
      <c r="L15">
        <f t="shared" si="3"/>
        <v>0</v>
      </c>
      <c r="M15">
        <f t="shared" si="4"/>
        <v>0</v>
      </c>
    </row>
    <row r="16" spans="1:14" x14ac:dyDescent="0.25">
      <c r="A16" s="2">
        <v>44411</v>
      </c>
      <c r="B16">
        <v>13</v>
      </c>
      <c r="D16">
        <v>33</v>
      </c>
      <c r="E16">
        <f t="shared" si="1"/>
        <v>0</v>
      </c>
      <c r="G16" s="2">
        <v>44412</v>
      </c>
      <c r="H16">
        <v>13</v>
      </c>
      <c r="J16">
        <v>33</v>
      </c>
      <c r="K16">
        <f t="shared" si="0"/>
        <v>0</v>
      </c>
      <c r="L16">
        <f t="shared" si="3"/>
        <v>0</v>
      </c>
      <c r="M16">
        <f t="shared" si="4"/>
        <v>0</v>
      </c>
    </row>
    <row r="17" spans="1:13" x14ac:dyDescent="0.25">
      <c r="A17" s="2">
        <v>44411</v>
      </c>
      <c r="B17">
        <v>14</v>
      </c>
      <c r="D17">
        <v>33</v>
      </c>
      <c r="E17">
        <f t="shared" si="1"/>
        <v>0</v>
      </c>
      <c r="G17" s="2">
        <v>44412</v>
      </c>
      <c r="H17">
        <v>14</v>
      </c>
      <c r="J17">
        <v>33</v>
      </c>
      <c r="K17">
        <f t="shared" si="0"/>
        <v>0</v>
      </c>
      <c r="L17">
        <f t="shared" si="3"/>
        <v>0</v>
      </c>
      <c r="M17">
        <f t="shared" si="4"/>
        <v>0</v>
      </c>
    </row>
    <row r="18" spans="1:13" x14ac:dyDescent="0.25">
      <c r="A18" s="2">
        <v>44411</v>
      </c>
      <c r="B18">
        <v>15</v>
      </c>
      <c r="D18">
        <v>33</v>
      </c>
      <c r="E18">
        <f t="shared" si="1"/>
        <v>0</v>
      </c>
      <c r="G18" s="2">
        <v>44412</v>
      </c>
      <c r="H18">
        <v>15</v>
      </c>
      <c r="J18">
        <v>33</v>
      </c>
      <c r="K18">
        <f t="shared" si="0"/>
        <v>0</v>
      </c>
      <c r="L18">
        <f t="shared" si="3"/>
        <v>0</v>
      </c>
      <c r="M18">
        <f t="shared" si="4"/>
        <v>0</v>
      </c>
    </row>
    <row r="20" spans="1:13" x14ac:dyDescent="0.25">
      <c r="A20" t="s">
        <v>22</v>
      </c>
      <c r="B20" s="7">
        <v>0.41666666666666669</v>
      </c>
    </row>
    <row r="21" spans="1:13" x14ac:dyDescent="0.25">
      <c r="A21" s="6" t="s">
        <v>23</v>
      </c>
      <c r="B21" s="7">
        <v>0.46875</v>
      </c>
    </row>
    <row r="22" spans="1:13" x14ac:dyDescent="0.25">
      <c r="E22">
        <f>AVERAGE(E4:E8)</f>
        <v>0</v>
      </c>
    </row>
    <row r="23" spans="1:13" x14ac:dyDescent="0.25">
      <c r="E23">
        <f>AVERAGE(E9:E13)</f>
        <v>0</v>
      </c>
    </row>
    <row r="24" spans="1:13" x14ac:dyDescent="0.25">
      <c r="E24">
        <f>AVERAGE(E14:E18)</f>
        <v>0</v>
      </c>
    </row>
    <row r="27" spans="1:13" x14ac:dyDescent="0.25">
      <c r="C27" s="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N6" sqref="N6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L1" s="11" t="e">
        <f>AVERAGE(#REF!)</f>
        <v>#REF!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254</v>
      </c>
      <c r="C4" s="16">
        <v>12570</v>
      </c>
      <c r="D4" s="16">
        <f>+B4+C4</f>
        <v>12824</v>
      </c>
      <c r="E4" s="14">
        <v>33</v>
      </c>
      <c r="F4" s="14">
        <f>(1000/E4)*B4</f>
        <v>7696.969696969697</v>
      </c>
      <c r="H4" s="11">
        <v>119</v>
      </c>
      <c r="I4" s="16">
        <v>3312</v>
      </c>
      <c r="J4" s="16">
        <f t="shared" ref="J4:J5" si="0">+H4+I4</f>
        <v>3431</v>
      </c>
      <c r="K4" s="11">
        <v>33</v>
      </c>
      <c r="L4" s="11">
        <f>+(B4-H4)/B4*100</f>
        <v>53.149606299212607</v>
      </c>
      <c r="M4" s="11">
        <f>+(C4-I4)/C4*100</f>
        <v>73.651551312649161</v>
      </c>
      <c r="N4" s="11">
        <f>+(D4-J4)/D4*100</f>
        <v>73.245477230193387</v>
      </c>
      <c r="O4" s="14">
        <f>(1000/K4)*H4</f>
        <v>3606.0606060606065</v>
      </c>
    </row>
    <row r="5" spans="1:16" x14ac:dyDescent="0.25">
      <c r="A5" s="17" t="s">
        <v>113</v>
      </c>
      <c r="B5" s="11">
        <v>184</v>
      </c>
      <c r="C5" s="16">
        <v>2788</v>
      </c>
      <c r="D5" s="16">
        <f t="shared" ref="D5:D12" si="1">+B5+C5</f>
        <v>2972</v>
      </c>
      <c r="E5" s="14">
        <v>33</v>
      </c>
      <c r="F5" s="14">
        <f t="shared" ref="F5:F12" si="2">(1000/E5)*B5</f>
        <v>5575.757575757576</v>
      </c>
      <c r="H5" s="11">
        <v>65</v>
      </c>
      <c r="I5" s="16">
        <v>2465</v>
      </c>
      <c r="J5" s="16">
        <f t="shared" si="0"/>
        <v>2530</v>
      </c>
      <c r="K5" s="11">
        <v>33</v>
      </c>
      <c r="L5" s="11">
        <f>+(B5-H5)/B5*100</f>
        <v>64.673913043478265</v>
      </c>
      <c r="M5" s="11">
        <f t="shared" ref="L5:N12" si="3">+(C5-I5)/C5*100</f>
        <v>11.585365853658537</v>
      </c>
      <c r="N5" s="11">
        <f>+(D5-J5)/D5*100</f>
        <v>14.872139973082099</v>
      </c>
      <c r="O5" s="14">
        <f t="shared" ref="O5:O12" si="4">(1000/K5)*H5</f>
        <v>1969.6969696969697</v>
      </c>
    </row>
    <row r="6" spans="1:16" x14ac:dyDescent="0.25">
      <c r="A6" s="17" t="s">
        <v>115</v>
      </c>
      <c r="B6" s="11">
        <v>62</v>
      </c>
      <c r="C6" s="11">
        <v>2854</v>
      </c>
      <c r="D6" s="16">
        <f>+B6+C6</f>
        <v>2916</v>
      </c>
      <c r="E6" s="14">
        <v>33</v>
      </c>
      <c r="F6" s="14">
        <f t="shared" si="2"/>
        <v>1878.787878787879</v>
      </c>
      <c r="H6" s="11">
        <v>58</v>
      </c>
      <c r="I6" s="16">
        <v>8557</v>
      </c>
      <c r="J6" s="16">
        <f>+H6+I6</f>
        <v>8615</v>
      </c>
      <c r="K6" s="11">
        <v>33</v>
      </c>
      <c r="L6" s="11">
        <f t="shared" si="3"/>
        <v>6.4516129032258061</v>
      </c>
      <c r="M6" s="11">
        <f>+(C6-I6)/C6*100</f>
        <v>-199.82480728801681</v>
      </c>
      <c r="O6" s="14">
        <f t="shared" si="4"/>
        <v>1757.5757575757577</v>
      </c>
    </row>
    <row r="7" spans="1:16" x14ac:dyDescent="0.25">
      <c r="A7" s="17" t="s">
        <v>114</v>
      </c>
      <c r="B7" s="11">
        <v>11</v>
      </c>
      <c r="C7" s="11">
        <v>3003</v>
      </c>
      <c r="D7" s="16">
        <f t="shared" si="1"/>
        <v>3014</v>
      </c>
      <c r="E7" s="14">
        <v>33</v>
      </c>
      <c r="F7" s="14">
        <f t="shared" si="2"/>
        <v>333.33333333333337</v>
      </c>
      <c r="H7" s="11">
        <v>10</v>
      </c>
      <c r="I7" s="16">
        <v>2794</v>
      </c>
      <c r="J7" s="16">
        <f>+H7+I7</f>
        <v>2804</v>
      </c>
      <c r="K7" s="11">
        <v>33</v>
      </c>
      <c r="L7" s="11">
        <f t="shared" si="3"/>
        <v>9.0909090909090917</v>
      </c>
      <c r="M7" s="11">
        <f t="shared" si="3"/>
        <v>6.9597069597069599</v>
      </c>
      <c r="N7" s="11">
        <f t="shared" si="3"/>
        <v>6.9674850696748507</v>
      </c>
      <c r="O7" s="14">
        <f t="shared" si="4"/>
        <v>303.03030303030306</v>
      </c>
    </row>
    <row r="8" spans="1:16" x14ac:dyDescent="0.25">
      <c r="A8" s="17" t="s">
        <v>112</v>
      </c>
      <c r="B8" s="11">
        <v>10</v>
      </c>
      <c r="C8" s="16">
        <v>2653</v>
      </c>
      <c r="D8" s="16">
        <f t="shared" si="1"/>
        <v>2663</v>
      </c>
      <c r="E8" s="14">
        <v>33</v>
      </c>
      <c r="F8" s="14">
        <f t="shared" si="2"/>
        <v>303.03030303030306</v>
      </c>
      <c r="H8" s="11">
        <v>5</v>
      </c>
      <c r="I8" s="16">
        <v>2265</v>
      </c>
      <c r="J8" s="16">
        <f t="shared" ref="J8:J12" si="5">+H8+I8</f>
        <v>2270</v>
      </c>
      <c r="K8" s="11">
        <v>33</v>
      </c>
      <c r="L8" s="11">
        <f t="shared" si="3"/>
        <v>50</v>
      </c>
      <c r="M8" s="11">
        <f t="shared" si="3"/>
        <v>14.624952883528081</v>
      </c>
      <c r="N8" s="11">
        <f t="shared" si="3"/>
        <v>14.757791963950432</v>
      </c>
      <c r="O8" s="14">
        <f t="shared" si="4"/>
        <v>151.51515151515153</v>
      </c>
    </row>
    <row r="9" spans="1:16" x14ac:dyDescent="0.25">
      <c r="A9" s="17" t="s">
        <v>118</v>
      </c>
      <c r="B9" s="11">
        <v>4</v>
      </c>
      <c r="C9" s="16">
        <v>3881</v>
      </c>
      <c r="D9" s="16">
        <f t="shared" si="1"/>
        <v>3885</v>
      </c>
      <c r="E9" s="14">
        <v>33</v>
      </c>
      <c r="F9" s="14">
        <f t="shared" si="2"/>
        <v>121.21212121212122</v>
      </c>
      <c r="H9" s="11">
        <v>5</v>
      </c>
      <c r="I9" s="16">
        <v>2596</v>
      </c>
      <c r="J9" s="16">
        <f t="shared" si="5"/>
        <v>2601</v>
      </c>
      <c r="K9" s="11">
        <v>33</v>
      </c>
      <c r="L9" s="11">
        <f t="shared" si="3"/>
        <v>-25</v>
      </c>
      <c r="M9" s="11">
        <f t="shared" si="3"/>
        <v>33.110023189899515</v>
      </c>
      <c r="N9" s="11">
        <f t="shared" si="3"/>
        <v>33.050193050193052</v>
      </c>
      <c r="O9" s="14">
        <f t="shared" si="4"/>
        <v>151.51515151515153</v>
      </c>
    </row>
    <row r="10" spans="1:16" x14ac:dyDescent="0.25">
      <c r="A10" s="17" t="s">
        <v>119</v>
      </c>
      <c r="B10" s="11">
        <v>24</v>
      </c>
      <c r="C10" s="16">
        <v>2817</v>
      </c>
      <c r="D10" s="16">
        <f t="shared" si="1"/>
        <v>2841</v>
      </c>
      <c r="E10" s="14">
        <v>33</v>
      </c>
      <c r="F10" s="14">
        <f t="shared" si="2"/>
        <v>727.27272727272725</v>
      </c>
      <c r="H10" s="11">
        <v>28</v>
      </c>
      <c r="I10" s="16">
        <v>2808</v>
      </c>
      <c r="J10" s="16">
        <f t="shared" si="5"/>
        <v>2836</v>
      </c>
      <c r="K10" s="11">
        <v>33</v>
      </c>
      <c r="L10" s="11">
        <f t="shared" si="3"/>
        <v>-16.666666666666664</v>
      </c>
      <c r="M10" s="11">
        <f t="shared" si="3"/>
        <v>0.31948881789137379</v>
      </c>
      <c r="N10" s="11">
        <f t="shared" si="3"/>
        <v>0.17599436818021824</v>
      </c>
      <c r="O10" s="14">
        <f t="shared" si="4"/>
        <v>848.4848484848485</v>
      </c>
    </row>
    <row r="11" spans="1:16" x14ac:dyDescent="0.25">
      <c r="A11" s="17" t="s">
        <v>116</v>
      </c>
      <c r="B11" s="16">
        <v>74</v>
      </c>
      <c r="C11" s="16">
        <v>3989</v>
      </c>
      <c r="D11" s="16">
        <f t="shared" si="1"/>
        <v>4063</v>
      </c>
      <c r="E11" s="14">
        <v>33</v>
      </c>
      <c r="F11" s="14">
        <f t="shared" si="2"/>
        <v>2242.4242424242425</v>
      </c>
      <c r="H11" s="16">
        <v>41</v>
      </c>
      <c r="I11" s="16">
        <v>2941</v>
      </c>
      <c r="J11" s="16">
        <f t="shared" si="5"/>
        <v>2982</v>
      </c>
      <c r="K11" s="11">
        <v>33</v>
      </c>
      <c r="L11" s="11">
        <f t="shared" si="3"/>
        <v>44.594594594594597</v>
      </c>
      <c r="M11" s="11">
        <f t="shared" si="3"/>
        <v>26.272248683880672</v>
      </c>
      <c r="N11" s="11">
        <f t="shared" si="3"/>
        <v>26.605956190007383</v>
      </c>
      <c r="O11" s="14">
        <f t="shared" si="4"/>
        <v>1242.4242424242425</v>
      </c>
    </row>
    <row r="12" spans="1:16" x14ac:dyDescent="0.25">
      <c r="A12" s="17" t="s">
        <v>117</v>
      </c>
      <c r="B12" s="11">
        <v>200</v>
      </c>
      <c r="C12" s="16">
        <v>3091</v>
      </c>
      <c r="D12" s="16">
        <f t="shared" si="1"/>
        <v>3291</v>
      </c>
      <c r="E12" s="14">
        <v>33</v>
      </c>
      <c r="F12" s="14">
        <f t="shared" si="2"/>
        <v>6060.606060606061</v>
      </c>
      <c r="H12" s="11">
        <v>36</v>
      </c>
      <c r="I12" s="16">
        <v>2267</v>
      </c>
      <c r="J12" s="16">
        <f t="shared" si="5"/>
        <v>2303</v>
      </c>
      <c r="K12" s="11">
        <v>33</v>
      </c>
      <c r="L12" s="11">
        <f t="shared" si="3"/>
        <v>82</v>
      </c>
      <c r="M12" s="11">
        <f t="shared" si="3"/>
        <v>26.658039469427369</v>
      </c>
      <c r="N12" s="11">
        <f t="shared" si="3"/>
        <v>30.021270130659371</v>
      </c>
      <c r="O12" s="14">
        <f t="shared" si="4"/>
        <v>1090.909090909091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2771.0437710437714</v>
      </c>
      <c r="G14" s="11">
        <f>_xlfn.STDEV.S(F4:F12)</f>
        <v>2899.5705609300949</v>
      </c>
      <c r="L14" s="11">
        <f>AVERAGE(L4:L12)</f>
        <v>29.810441029417078</v>
      </c>
      <c r="M14" s="11">
        <f>AVERAGE(M4:M12)</f>
        <v>-0.73815890193056988</v>
      </c>
      <c r="N14" s="11">
        <f>AVERAGE(N4:N12)</f>
        <v>24.962038496992601</v>
      </c>
      <c r="O14" s="14">
        <f>AVERAGE(O4:O12)</f>
        <v>1235.690235690236</v>
      </c>
      <c r="P14" s="11">
        <f>_xlfn.STDEV.S(O4:O12)</f>
        <v>1108.007603264964</v>
      </c>
    </row>
    <row r="16" spans="1:16" x14ac:dyDescent="0.25">
      <c r="A16" s="11" t="s">
        <v>259</v>
      </c>
    </row>
    <row r="19" spans="1:6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6" x14ac:dyDescent="0.25">
      <c r="A20" s="11" t="s">
        <v>223</v>
      </c>
      <c r="B20" s="11">
        <v>51951</v>
      </c>
      <c r="C20" s="16">
        <v>18245</v>
      </c>
      <c r="D20" s="16">
        <f>+B20+C20</f>
        <v>70196</v>
      </c>
      <c r="E20" s="14">
        <v>33</v>
      </c>
      <c r="F20" s="14">
        <f>(1000/E20)*B20</f>
        <v>1574272.7272727273</v>
      </c>
    </row>
    <row r="21" spans="1:6" x14ac:dyDescent="0.25">
      <c r="A21" s="11" t="s">
        <v>258</v>
      </c>
      <c r="B21" s="11">
        <v>18</v>
      </c>
      <c r="C21" s="11">
        <v>5346</v>
      </c>
      <c r="D21" s="16">
        <f>+B21+C21</f>
        <v>5364</v>
      </c>
      <c r="E21" s="14">
        <v>34</v>
      </c>
      <c r="F21" s="14">
        <f>(1000/E21)*B21</f>
        <v>529.41176470588232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D23" sqref="D23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L1" s="11" t="e">
        <f>AVERAGE(#REF!)</f>
        <v>#REF!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277</v>
      </c>
      <c r="C4" s="16">
        <v>4601</v>
      </c>
      <c r="D4" s="16">
        <f>+B4+C4</f>
        <v>4878</v>
      </c>
      <c r="E4" s="14">
        <v>33</v>
      </c>
      <c r="F4" s="14">
        <f>(1000/E4)*B4</f>
        <v>8393.939393939394</v>
      </c>
      <c r="H4" s="11">
        <v>175</v>
      </c>
      <c r="I4" s="16">
        <v>4264</v>
      </c>
      <c r="J4" s="16">
        <f t="shared" ref="J4:J5" si="0">+H4+I4</f>
        <v>4439</v>
      </c>
      <c r="K4" s="11">
        <v>33</v>
      </c>
      <c r="L4" s="11">
        <f>+(B4-H4)/B4*100</f>
        <v>36.823104693140799</v>
      </c>
      <c r="M4" s="11">
        <f>+(C4-I4)/C4*100</f>
        <v>7.3244946750706363</v>
      </c>
      <c r="N4" s="11">
        <f>+(D4-J4)/D4*100</f>
        <v>8.9995899958999601</v>
      </c>
      <c r="O4" s="14">
        <f>(1000/K4)*H4</f>
        <v>5303.030303030303</v>
      </c>
    </row>
    <row r="5" spans="1:16" x14ac:dyDescent="0.25">
      <c r="A5" s="17" t="s">
        <v>113</v>
      </c>
      <c r="B5" s="11">
        <v>206</v>
      </c>
      <c r="C5" s="16">
        <v>3041</v>
      </c>
      <c r="D5" s="16">
        <f t="shared" ref="D5:D12" si="1">+B5+C5</f>
        <v>3247</v>
      </c>
      <c r="E5" s="14">
        <v>33</v>
      </c>
      <c r="F5" s="14">
        <f t="shared" ref="F5:F12" si="2">(1000/E5)*B5</f>
        <v>6242.4242424242429</v>
      </c>
      <c r="H5" s="11">
        <v>95</v>
      </c>
      <c r="I5" s="16">
        <v>2931</v>
      </c>
      <c r="J5" s="16">
        <f t="shared" si="0"/>
        <v>3026</v>
      </c>
      <c r="K5" s="11">
        <v>33</v>
      </c>
      <c r="L5" s="11">
        <f>+(B5-H5)/B5*100</f>
        <v>53.883495145631066</v>
      </c>
      <c r="M5" s="11">
        <f t="shared" ref="L5:N12" si="3">+(C5-I5)/C5*100</f>
        <v>3.6172311739559357</v>
      </c>
      <c r="N5" s="11">
        <f>+(D5-J5)/D5*100</f>
        <v>6.8062827225130889</v>
      </c>
      <c r="O5" s="14">
        <f t="shared" ref="O5:O12" si="4">(1000/K5)*H5</f>
        <v>2878.787878787879</v>
      </c>
    </row>
    <row r="6" spans="1:16" x14ac:dyDescent="0.25">
      <c r="A6" s="17" t="s">
        <v>115</v>
      </c>
      <c r="B6" s="11">
        <v>83</v>
      </c>
      <c r="C6" s="11">
        <v>3824</v>
      </c>
      <c r="D6" s="16">
        <f>+B6+C6</f>
        <v>3907</v>
      </c>
      <c r="E6" s="14">
        <v>33</v>
      </c>
      <c r="F6" s="14">
        <f t="shared" si="2"/>
        <v>2515.1515151515155</v>
      </c>
      <c r="H6" s="11">
        <v>82</v>
      </c>
      <c r="I6" s="16">
        <v>2436</v>
      </c>
      <c r="J6" s="16">
        <f>+H6+I6</f>
        <v>2518</v>
      </c>
      <c r="K6" s="11">
        <v>33</v>
      </c>
      <c r="L6" s="11">
        <f t="shared" si="3"/>
        <v>1.2048192771084338</v>
      </c>
      <c r="M6" s="11">
        <f>+(C6-I6)/C6*100</f>
        <v>36.297071129707113</v>
      </c>
      <c r="N6" s="11">
        <f>+(D6-J6)/D6*100</f>
        <v>35.551574097773226</v>
      </c>
      <c r="O6" s="14">
        <f t="shared" si="4"/>
        <v>2484.848484848485</v>
      </c>
    </row>
    <row r="7" spans="1:16" x14ac:dyDescent="0.25">
      <c r="A7" s="17" t="s">
        <v>114</v>
      </c>
      <c r="B7" s="11">
        <v>203</v>
      </c>
      <c r="C7" s="11">
        <v>3856</v>
      </c>
      <c r="D7" s="16">
        <f t="shared" si="1"/>
        <v>4059</v>
      </c>
      <c r="E7" s="14">
        <v>33</v>
      </c>
      <c r="F7" s="14">
        <f t="shared" si="2"/>
        <v>6151.515151515152</v>
      </c>
      <c r="H7" s="11">
        <v>95</v>
      </c>
      <c r="I7" s="16">
        <v>3311</v>
      </c>
      <c r="J7" s="16">
        <f>+H7+I7</f>
        <v>3406</v>
      </c>
      <c r="K7" s="11">
        <v>33</v>
      </c>
      <c r="L7" s="11">
        <f t="shared" si="3"/>
        <v>53.201970443349758</v>
      </c>
      <c r="M7" s="11">
        <f t="shared" si="3"/>
        <v>14.133817427385893</v>
      </c>
      <c r="N7" s="11">
        <f t="shared" si="3"/>
        <v>16.087706331608771</v>
      </c>
      <c r="O7" s="14">
        <f t="shared" si="4"/>
        <v>2878.787878787879</v>
      </c>
    </row>
    <row r="8" spans="1:16" x14ac:dyDescent="0.25">
      <c r="A8" s="17" t="s">
        <v>112</v>
      </c>
      <c r="B8" s="11">
        <v>72</v>
      </c>
      <c r="C8" s="16">
        <v>4586</v>
      </c>
      <c r="D8" s="16">
        <f t="shared" si="1"/>
        <v>4658</v>
      </c>
      <c r="E8" s="14">
        <v>33</v>
      </c>
      <c r="F8" s="14">
        <f t="shared" si="2"/>
        <v>2181.818181818182</v>
      </c>
      <c r="H8" s="11">
        <v>90</v>
      </c>
      <c r="I8" s="16">
        <v>3144</v>
      </c>
      <c r="J8" s="16">
        <f t="shared" ref="J8:J12" si="5">+H8+I8</f>
        <v>3234</v>
      </c>
      <c r="K8" s="11">
        <v>33</v>
      </c>
      <c r="L8" s="11">
        <f t="shared" si="3"/>
        <v>-25</v>
      </c>
      <c r="M8" s="11">
        <f t="shared" si="3"/>
        <v>31.443523767989532</v>
      </c>
      <c r="N8" s="11">
        <f t="shared" si="3"/>
        <v>30.571060541004723</v>
      </c>
      <c r="O8" s="14">
        <f t="shared" si="4"/>
        <v>2727.2727272727275</v>
      </c>
    </row>
    <row r="9" spans="1:16" x14ac:dyDescent="0.25">
      <c r="A9" s="17" t="s">
        <v>118</v>
      </c>
      <c r="B9" s="11">
        <v>82</v>
      </c>
      <c r="C9" s="16">
        <v>5093</v>
      </c>
      <c r="D9" s="16">
        <f t="shared" si="1"/>
        <v>5175</v>
      </c>
      <c r="E9" s="14">
        <v>33</v>
      </c>
      <c r="F9" s="14">
        <f t="shared" si="2"/>
        <v>2484.848484848485</v>
      </c>
      <c r="H9" s="11">
        <v>49</v>
      </c>
      <c r="I9" s="16">
        <v>2591</v>
      </c>
      <c r="J9" s="16">
        <f t="shared" si="5"/>
        <v>2640</v>
      </c>
      <c r="K9" s="11">
        <v>33</v>
      </c>
      <c r="L9" s="11">
        <f t="shared" si="3"/>
        <v>40.243902439024396</v>
      </c>
      <c r="M9" s="11">
        <f t="shared" si="3"/>
        <v>49.126251718044372</v>
      </c>
      <c r="N9" s="11">
        <f t="shared" si="3"/>
        <v>48.985507246376812</v>
      </c>
      <c r="O9" s="14">
        <f t="shared" si="4"/>
        <v>1484.848484848485</v>
      </c>
    </row>
    <row r="10" spans="1:16" x14ac:dyDescent="0.25">
      <c r="A10" s="17" t="s">
        <v>119</v>
      </c>
      <c r="B10" s="11">
        <v>427</v>
      </c>
      <c r="C10" s="16">
        <v>4417</v>
      </c>
      <c r="D10" s="16">
        <f t="shared" si="1"/>
        <v>4844</v>
      </c>
      <c r="E10" s="14">
        <v>33</v>
      </c>
      <c r="F10" s="14">
        <f t="shared" si="2"/>
        <v>12939.39393939394</v>
      </c>
      <c r="H10" s="11">
        <v>70</v>
      </c>
      <c r="I10" s="16">
        <v>3106</v>
      </c>
      <c r="J10" s="16">
        <f t="shared" si="5"/>
        <v>3176</v>
      </c>
      <c r="K10" s="11">
        <v>33</v>
      </c>
      <c r="L10" s="11">
        <f t="shared" si="3"/>
        <v>83.606557377049185</v>
      </c>
      <c r="M10" s="11">
        <f t="shared" si="3"/>
        <v>29.680778809146481</v>
      </c>
      <c r="N10" s="11">
        <f t="shared" si="3"/>
        <v>34.434351775392237</v>
      </c>
      <c r="O10" s="14">
        <f t="shared" si="4"/>
        <v>2121.2121212121215</v>
      </c>
    </row>
    <row r="11" spans="1:16" x14ac:dyDescent="0.25">
      <c r="A11" s="17" t="s">
        <v>116</v>
      </c>
      <c r="B11" s="16">
        <v>173</v>
      </c>
      <c r="C11" s="16">
        <v>5193</v>
      </c>
      <c r="D11" s="16">
        <f t="shared" si="1"/>
        <v>5366</v>
      </c>
      <c r="E11" s="14">
        <v>33</v>
      </c>
      <c r="F11" s="14">
        <f t="shared" si="2"/>
        <v>5242.4242424242429</v>
      </c>
      <c r="H11" s="16">
        <v>95</v>
      </c>
      <c r="I11" s="16">
        <v>3525</v>
      </c>
      <c r="J11" s="16">
        <f t="shared" si="5"/>
        <v>3620</v>
      </c>
      <c r="K11" s="11">
        <v>33</v>
      </c>
      <c r="L11" s="11">
        <f t="shared" si="3"/>
        <v>45.086705202312139</v>
      </c>
      <c r="M11" s="11">
        <f t="shared" si="3"/>
        <v>32.12016175621028</v>
      </c>
      <c r="N11" s="11">
        <f t="shared" si="3"/>
        <v>32.538203503540814</v>
      </c>
      <c r="O11" s="14">
        <f t="shared" si="4"/>
        <v>2878.787878787879</v>
      </c>
    </row>
    <row r="12" spans="1:16" x14ac:dyDescent="0.25">
      <c r="A12" s="17" t="s">
        <v>117</v>
      </c>
      <c r="B12" s="11">
        <v>352</v>
      </c>
      <c r="C12" s="16">
        <v>4884</v>
      </c>
      <c r="D12" s="16">
        <f t="shared" si="1"/>
        <v>5236</v>
      </c>
      <c r="E12" s="14">
        <v>33</v>
      </c>
      <c r="F12" s="14">
        <f t="shared" si="2"/>
        <v>10666.666666666668</v>
      </c>
      <c r="H12" s="11">
        <v>71</v>
      </c>
      <c r="I12" s="16">
        <v>3123</v>
      </c>
      <c r="J12" s="16">
        <f t="shared" si="5"/>
        <v>3194</v>
      </c>
      <c r="K12" s="11">
        <v>33</v>
      </c>
      <c r="L12" s="11">
        <f t="shared" si="3"/>
        <v>79.829545454545453</v>
      </c>
      <c r="M12" s="11">
        <f t="shared" si="3"/>
        <v>36.056511056511056</v>
      </c>
      <c r="N12" s="11">
        <f t="shared" si="3"/>
        <v>38.999236058059587</v>
      </c>
      <c r="O12" s="14">
        <f t="shared" si="4"/>
        <v>2151.5151515151515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6313.1313131313136</v>
      </c>
      <c r="G14" s="11">
        <f>_xlfn.STDEV.S(F4:F12)</f>
        <v>3783.4519586747278</v>
      </c>
      <c r="L14" s="11">
        <f>AVERAGE(L4:L12)</f>
        <v>40.986677781351247</v>
      </c>
      <c r="M14" s="11">
        <f>AVERAGE(M4:M12)</f>
        <v>26.644426834891256</v>
      </c>
      <c r="N14" s="11">
        <f>AVERAGE(N4:N12)</f>
        <v>28.108168030241025</v>
      </c>
      <c r="O14" s="14">
        <f>AVERAGE(O4:O12)</f>
        <v>2767.6767676767681</v>
      </c>
      <c r="P14" s="11">
        <f>_xlfn.STDEV.S(O4:O12)</f>
        <v>1060.0647969522299</v>
      </c>
    </row>
    <row r="16" spans="1:16" x14ac:dyDescent="0.25">
      <c r="A16" s="11" t="s">
        <v>259</v>
      </c>
    </row>
    <row r="19" spans="1:6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6" x14ac:dyDescent="0.25">
      <c r="A20" s="11" t="s">
        <v>223</v>
      </c>
      <c r="B20" s="11">
        <v>59935</v>
      </c>
      <c r="C20" s="16">
        <v>27950</v>
      </c>
      <c r="D20" s="16">
        <f>+B20+C20</f>
        <v>87885</v>
      </c>
      <c r="E20" s="14">
        <v>33</v>
      </c>
      <c r="F20" s="14">
        <f>(1000/E20)*B20</f>
        <v>1816212.1212121213</v>
      </c>
    </row>
    <row r="21" spans="1:6" x14ac:dyDescent="0.25">
      <c r="A21" s="11" t="s">
        <v>258</v>
      </c>
      <c r="D21" s="16">
        <f>+B21+C21</f>
        <v>0</v>
      </c>
      <c r="E21" s="14">
        <v>34</v>
      </c>
      <c r="F21" s="14">
        <f>(1000/E21)*B21</f>
        <v>0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E1" workbookViewId="0">
      <selection activeCell="D12" sqref="D12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L1" s="11" t="e">
        <f>AVERAGE(#REF!)</f>
        <v>#REF!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121</v>
      </c>
      <c r="C4" s="16">
        <v>7532</v>
      </c>
      <c r="D4" s="16">
        <f>+B4+C4</f>
        <v>7653</v>
      </c>
      <c r="E4" s="14">
        <v>33</v>
      </c>
      <c r="F4" s="14">
        <f>(1000/E4)*B4</f>
        <v>3666.666666666667</v>
      </c>
      <c r="H4" s="11">
        <v>132</v>
      </c>
      <c r="I4" s="16">
        <v>4692</v>
      </c>
      <c r="J4" s="16">
        <f t="shared" ref="J4:J5" si="0">+H4+I4</f>
        <v>4824</v>
      </c>
      <c r="K4" s="11">
        <v>33</v>
      </c>
      <c r="L4" s="11">
        <f>+(B4-H4)/B4*100</f>
        <v>-9.0909090909090917</v>
      </c>
      <c r="M4" s="11">
        <f>+(C4-I4)/C4*100</f>
        <v>37.705788635156665</v>
      </c>
      <c r="N4" s="11">
        <f>+(D4-J4)/D4*100</f>
        <v>36.965895727165815</v>
      </c>
      <c r="O4" s="14">
        <f>(1000/K4)*H4</f>
        <v>4000</v>
      </c>
    </row>
    <row r="5" spans="1:16" x14ac:dyDescent="0.25">
      <c r="A5" s="17" t="s">
        <v>113</v>
      </c>
      <c r="B5" s="11">
        <v>62</v>
      </c>
      <c r="C5" s="16">
        <v>6015</v>
      </c>
      <c r="D5" s="16">
        <f t="shared" ref="D5:D12" si="1">+B5+C5</f>
        <v>6077</v>
      </c>
      <c r="E5" s="14">
        <v>33</v>
      </c>
      <c r="F5" s="14">
        <f t="shared" ref="F5:F12" si="2">(1000/E5)*B5</f>
        <v>1878.787878787879</v>
      </c>
      <c r="H5" s="11">
        <v>93</v>
      </c>
      <c r="I5" s="16">
        <v>4408</v>
      </c>
      <c r="J5" s="16">
        <f t="shared" si="0"/>
        <v>4501</v>
      </c>
      <c r="K5" s="11">
        <v>33</v>
      </c>
      <c r="L5" s="11">
        <f>+(B5-H5)/B5*100</f>
        <v>-50</v>
      </c>
      <c r="M5" s="11">
        <f t="shared" ref="L5:N12" si="3">+(C5-I5)/C5*100</f>
        <v>26.716541978387365</v>
      </c>
      <c r="N5" s="11">
        <f>+(D5-J5)/D5*100</f>
        <v>25.933848938621029</v>
      </c>
      <c r="O5" s="14">
        <f t="shared" ref="O5:O12" si="4">(1000/K5)*H5</f>
        <v>2818.1818181818185</v>
      </c>
    </row>
    <row r="6" spans="1:16" x14ac:dyDescent="0.25">
      <c r="A6" s="17" t="s">
        <v>115</v>
      </c>
      <c r="B6" s="11">
        <v>77</v>
      </c>
      <c r="C6" s="11">
        <v>4532</v>
      </c>
      <c r="D6" s="16">
        <f>+B6+C6</f>
        <v>4609</v>
      </c>
      <c r="E6" s="14">
        <v>33</v>
      </c>
      <c r="F6" s="14">
        <f t="shared" si="2"/>
        <v>2333.3333333333335</v>
      </c>
      <c r="H6" s="11">
        <v>77</v>
      </c>
      <c r="I6" s="16">
        <v>3595</v>
      </c>
      <c r="J6" s="16">
        <f>+H6+I6</f>
        <v>3672</v>
      </c>
      <c r="K6" s="11">
        <v>33</v>
      </c>
      <c r="L6" s="11">
        <f t="shared" si="3"/>
        <v>0</v>
      </c>
      <c r="M6" s="11">
        <f>+(C6-I6)/C6*100</f>
        <v>20.675198587819946</v>
      </c>
      <c r="N6" s="11">
        <f>+(D6-J6)/D6*100</f>
        <v>20.329789542200043</v>
      </c>
      <c r="O6" s="14">
        <f t="shared" si="4"/>
        <v>2333.3333333333335</v>
      </c>
    </row>
    <row r="7" spans="1:16" x14ac:dyDescent="0.25">
      <c r="A7" s="17" t="s">
        <v>114</v>
      </c>
      <c r="B7" s="11">
        <v>68</v>
      </c>
      <c r="C7" s="11">
        <v>5101</v>
      </c>
      <c r="D7" s="16">
        <f t="shared" si="1"/>
        <v>5169</v>
      </c>
      <c r="E7" s="14">
        <v>33</v>
      </c>
      <c r="F7" s="14">
        <f t="shared" si="2"/>
        <v>2060.6060606060605</v>
      </c>
      <c r="H7" s="11">
        <v>153</v>
      </c>
      <c r="I7" s="16">
        <v>5182</v>
      </c>
      <c r="J7" s="16">
        <f>+H7+I7</f>
        <v>5335</v>
      </c>
      <c r="K7" s="11">
        <v>33</v>
      </c>
      <c r="L7" s="11">
        <f t="shared" si="3"/>
        <v>-125</v>
      </c>
      <c r="M7" s="11">
        <f t="shared" si="3"/>
        <v>-1.5879239364830426</v>
      </c>
      <c r="N7" s="11">
        <f t="shared" si="3"/>
        <v>-3.2114528922422134</v>
      </c>
      <c r="O7" s="14">
        <f t="shared" si="4"/>
        <v>4636.3636363636369</v>
      </c>
    </row>
    <row r="8" spans="1:16" x14ac:dyDescent="0.25">
      <c r="A8" s="17" t="s">
        <v>112</v>
      </c>
      <c r="B8" s="11">
        <v>91</v>
      </c>
      <c r="C8" s="16">
        <v>5086</v>
      </c>
      <c r="D8" s="16">
        <f t="shared" si="1"/>
        <v>5177</v>
      </c>
      <c r="E8" s="14">
        <v>33</v>
      </c>
      <c r="F8" s="14">
        <f t="shared" si="2"/>
        <v>2757.5757575757575</v>
      </c>
      <c r="H8" s="11">
        <v>59</v>
      </c>
      <c r="I8" s="16">
        <v>4513</v>
      </c>
      <c r="J8" s="16">
        <f t="shared" ref="J8:J12" si="5">+H8+I8</f>
        <v>4572</v>
      </c>
      <c r="K8" s="11">
        <v>33</v>
      </c>
      <c r="L8" s="11">
        <f t="shared" si="3"/>
        <v>35.164835164835168</v>
      </c>
      <c r="M8" s="11">
        <f t="shared" si="3"/>
        <v>11.266220998820291</v>
      </c>
      <c r="N8" s="11">
        <f t="shared" si="3"/>
        <v>11.686304809735368</v>
      </c>
      <c r="O8" s="14">
        <f t="shared" si="4"/>
        <v>1787.878787878788</v>
      </c>
    </row>
    <row r="9" spans="1:16" x14ac:dyDescent="0.25">
      <c r="A9" s="17" t="s">
        <v>118</v>
      </c>
      <c r="B9" s="11">
        <v>19</v>
      </c>
      <c r="C9" s="16">
        <v>7397</v>
      </c>
      <c r="D9" s="16">
        <f t="shared" si="1"/>
        <v>7416</v>
      </c>
      <c r="E9" s="14">
        <v>33</v>
      </c>
      <c r="F9" s="14">
        <f t="shared" si="2"/>
        <v>575.75757575757575</v>
      </c>
      <c r="H9" s="11">
        <v>11</v>
      </c>
      <c r="I9" s="16">
        <v>3757</v>
      </c>
      <c r="J9" s="16">
        <f t="shared" si="5"/>
        <v>3768</v>
      </c>
      <c r="K9" s="11">
        <v>33</v>
      </c>
      <c r="L9" s="11">
        <f t="shared" si="3"/>
        <v>42.105263157894733</v>
      </c>
      <c r="M9" s="11">
        <f t="shared" si="3"/>
        <v>49.209138840070295</v>
      </c>
      <c r="N9" s="11">
        <f t="shared" si="3"/>
        <v>49.190938511326863</v>
      </c>
      <c r="O9" s="14">
        <f t="shared" si="4"/>
        <v>333.33333333333337</v>
      </c>
    </row>
    <row r="10" spans="1:16" x14ac:dyDescent="0.25">
      <c r="A10" s="17" t="s">
        <v>119</v>
      </c>
      <c r="B10" s="11">
        <v>170</v>
      </c>
      <c r="C10" s="16">
        <v>5669</v>
      </c>
      <c r="D10" s="16">
        <f t="shared" si="1"/>
        <v>5839</v>
      </c>
      <c r="E10" s="14">
        <v>33</v>
      </c>
      <c r="F10" s="14">
        <f t="shared" si="2"/>
        <v>5151.515151515152</v>
      </c>
      <c r="H10" s="11">
        <v>67</v>
      </c>
      <c r="I10" s="16">
        <v>3929</v>
      </c>
      <c r="J10" s="16">
        <f t="shared" si="5"/>
        <v>3996</v>
      </c>
      <c r="K10" s="11">
        <v>33</v>
      </c>
      <c r="L10" s="11">
        <f t="shared" si="3"/>
        <v>60.588235294117645</v>
      </c>
      <c r="M10" s="11">
        <f t="shared" si="3"/>
        <v>30.693243958370083</v>
      </c>
      <c r="N10" s="11">
        <f t="shared" si="3"/>
        <v>31.563623908203457</v>
      </c>
      <c r="O10" s="14">
        <f t="shared" si="4"/>
        <v>2030.3030303030305</v>
      </c>
    </row>
    <row r="11" spans="1:16" x14ac:dyDescent="0.25">
      <c r="A11" s="17" t="s">
        <v>116</v>
      </c>
      <c r="B11" s="16">
        <v>224</v>
      </c>
      <c r="C11" s="16">
        <v>6631</v>
      </c>
      <c r="D11" s="16">
        <f t="shared" si="1"/>
        <v>6855</v>
      </c>
      <c r="E11" s="14">
        <v>33</v>
      </c>
      <c r="F11" s="14">
        <f t="shared" si="2"/>
        <v>6787.878787878788</v>
      </c>
      <c r="H11" s="16">
        <v>84</v>
      </c>
      <c r="I11" s="16">
        <v>6924</v>
      </c>
      <c r="J11" s="16">
        <f t="shared" si="5"/>
        <v>7008</v>
      </c>
      <c r="K11" s="11">
        <v>33</v>
      </c>
      <c r="L11" s="11">
        <f t="shared" si="3"/>
        <v>62.5</v>
      </c>
      <c r="M11" s="11">
        <f t="shared" si="3"/>
        <v>-4.4186397225154579</v>
      </c>
      <c r="N11" s="11">
        <f t="shared" si="3"/>
        <v>-2.2319474835886215</v>
      </c>
      <c r="O11" s="14">
        <f t="shared" si="4"/>
        <v>2545.4545454545455</v>
      </c>
    </row>
    <row r="12" spans="1:16" x14ac:dyDescent="0.25">
      <c r="A12" s="17" t="s">
        <v>117</v>
      </c>
      <c r="B12" s="11">
        <v>159</v>
      </c>
      <c r="C12" s="16">
        <v>5490</v>
      </c>
      <c r="D12" s="16">
        <f t="shared" si="1"/>
        <v>5649</v>
      </c>
      <c r="E12" s="14">
        <v>33</v>
      </c>
      <c r="F12" s="14">
        <f t="shared" si="2"/>
        <v>4818.181818181818</v>
      </c>
      <c r="H12" s="11">
        <v>72</v>
      </c>
      <c r="I12" s="16">
        <v>4157</v>
      </c>
      <c r="J12" s="16">
        <f t="shared" si="5"/>
        <v>4229</v>
      </c>
      <c r="K12" s="11">
        <v>33</v>
      </c>
      <c r="L12" s="11">
        <f t="shared" si="3"/>
        <v>54.716981132075468</v>
      </c>
      <c r="M12" s="11">
        <f t="shared" si="3"/>
        <v>24.280510018214937</v>
      </c>
      <c r="N12" s="11">
        <f t="shared" si="3"/>
        <v>25.137192423437778</v>
      </c>
      <c r="O12" s="14">
        <f t="shared" si="4"/>
        <v>2181.818181818182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3336.7003367003367</v>
      </c>
      <c r="G14" s="11">
        <f>_xlfn.STDEV.S(F4:F12)</f>
        <v>1943.7949853329728</v>
      </c>
      <c r="L14" s="11">
        <f>AVERAGE(L4:L12)</f>
        <v>7.8871561842237714</v>
      </c>
      <c r="M14" s="11">
        <f>AVERAGE(M4:M12)</f>
        <v>21.615564373093452</v>
      </c>
      <c r="N14" s="11">
        <f>AVERAGE(N4:N12)</f>
        <v>21.707132609428836</v>
      </c>
      <c r="O14" s="14">
        <f>AVERAGE(O4:O12)</f>
        <v>2518.5185185185182</v>
      </c>
      <c r="P14" s="11">
        <f>_xlfn.STDEV.S(O4:O12)</f>
        <v>1248.2719409190738</v>
      </c>
    </row>
    <row r="16" spans="1:16" x14ac:dyDescent="0.25">
      <c r="A16" s="11" t="s">
        <v>259</v>
      </c>
    </row>
    <row r="19" spans="1:6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6" x14ac:dyDescent="0.25">
      <c r="A20" s="11" t="s">
        <v>223</v>
      </c>
      <c r="B20" s="11">
        <v>63706</v>
      </c>
      <c r="C20" s="16">
        <v>21367</v>
      </c>
      <c r="D20" s="16">
        <f>+B20+C20</f>
        <v>85073</v>
      </c>
      <c r="E20" s="14">
        <v>33</v>
      </c>
      <c r="F20" s="14">
        <f>(1000/E20)*B20</f>
        <v>1930484.8484848486</v>
      </c>
    </row>
    <row r="21" spans="1:6" x14ac:dyDescent="0.25">
      <c r="A21" s="11" t="s">
        <v>258</v>
      </c>
      <c r="B21" s="11">
        <v>54</v>
      </c>
      <c r="C21" s="11">
        <v>4439</v>
      </c>
      <c r="D21" s="16">
        <f>+B21+C21</f>
        <v>4493</v>
      </c>
      <c r="E21" s="14">
        <v>34</v>
      </c>
      <c r="F21" s="14">
        <f>(1000/E21)*B21</f>
        <v>1588.2352941176471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G8" sqref="G8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111</v>
      </c>
      <c r="C4" s="16">
        <v>3076</v>
      </c>
      <c r="D4" s="16">
        <f>+B4+C4</f>
        <v>3187</v>
      </c>
      <c r="E4" s="14">
        <v>33</v>
      </c>
      <c r="F4" s="14">
        <f>(1000/E4)*B4</f>
        <v>3363.636363636364</v>
      </c>
      <c r="H4" s="11">
        <v>112</v>
      </c>
      <c r="I4" s="16">
        <v>3042</v>
      </c>
      <c r="J4" s="16">
        <f t="shared" ref="J4:J5" si="0">+H4+I4</f>
        <v>3154</v>
      </c>
      <c r="K4" s="11">
        <v>33</v>
      </c>
      <c r="L4" s="11">
        <f>+(B4-H4)/B4*100</f>
        <v>-0.90090090090090091</v>
      </c>
      <c r="M4" s="11">
        <f>+(C4-I4)/C4*100</f>
        <v>1.1053315994798438</v>
      </c>
      <c r="N4" s="11">
        <f>+(D4-J4)/D4*100</f>
        <v>1.0354565422026984</v>
      </c>
      <c r="O4" s="14">
        <f>(1000/K4)*H4</f>
        <v>3393.939393939394</v>
      </c>
    </row>
    <row r="5" spans="1:16" x14ac:dyDescent="0.25">
      <c r="A5" s="17" t="s">
        <v>113</v>
      </c>
      <c r="B5" s="11">
        <v>54</v>
      </c>
      <c r="C5" s="16">
        <v>2151</v>
      </c>
      <c r="D5" s="16">
        <f t="shared" ref="D5:D12" si="1">+B5+C5</f>
        <v>2205</v>
      </c>
      <c r="E5" s="14">
        <v>33</v>
      </c>
      <c r="F5" s="14">
        <f t="shared" ref="F5:F12" si="2">(1000/E5)*B5</f>
        <v>1636.3636363636365</v>
      </c>
      <c r="H5" s="11">
        <v>22</v>
      </c>
      <c r="I5" s="16">
        <v>1721</v>
      </c>
      <c r="J5" s="16">
        <f t="shared" si="0"/>
        <v>1743</v>
      </c>
      <c r="K5" s="11">
        <v>33</v>
      </c>
      <c r="L5" s="11">
        <f>+(B5-H5)/B5*100</f>
        <v>59.259259259259252</v>
      </c>
      <c r="M5" s="11">
        <f t="shared" ref="L5:N12" si="3">+(C5-I5)/C5*100</f>
        <v>19.9907019990702</v>
      </c>
      <c r="N5" s="11">
        <f>+(D5-J5)/D5*100</f>
        <v>20.952380952380953</v>
      </c>
      <c r="O5" s="14">
        <f t="shared" ref="O5:O12" si="4">(1000/K5)*H5</f>
        <v>666.66666666666674</v>
      </c>
    </row>
    <row r="6" spans="1:16" x14ac:dyDescent="0.25">
      <c r="A6" s="17" t="s">
        <v>115</v>
      </c>
      <c r="B6" s="11">
        <v>230</v>
      </c>
      <c r="C6" s="11">
        <v>2442</v>
      </c>
      <c r="D6" s="16">
        <f>+B6+C6</f>
        <v>2672</v>
      </c>
      <c r="E6" s="14">
        <v>33</v>
      </c>
      <c r="F6" s="14">
        <f t="shared" si="2"/>
        <v>6969.69696969697</v>
      </c>
      <c r="H6" s="11">
        <v>85</v>
      </c>
      <c r="I6" s="16">
        <v>2673</v>
      </c>
      <c r="J6" s="16">
        <f>+H6+I6</f>
        <v>2758</v>
      </c>
      <c r="K6" s="11">
        <v>33</v>
      </c>
      <c r="L6" s="11">
        <f t="shared" si="3"/>
        <v>63.04347826086957</v>
      </c>
      <c r="M6" s="11">
        <f>+(C6-I6)/C6*100</f>
        <v>-9.4594594594594597</v>
      </c>
      <c r="N6" s="11">
        <f>+(D6-J6)/D6*100</f>
        <v>-3.2185628742514969</v>
      </c>
      <c r="O6" s="14">
        <f t="shared" si="4"/>
        <v>2575.757575757576</v>
      </c>
    </row>
    <row r="7" spans="1:16" x14ac:dyDescent="0.25">
      <c r="A7" s="17" t="s">
        <v>114</v>
      </c>
      <c r="B7" s="11">
        <v>55</v>
      </c>
      <c r="C7" s="11">
        <v>2261</v>
      </c>
      <c r="D7" s="16">
        <f t="shared" si="1"/>
        <v>2316</v>
      </c>
      <c r="E7" s="14">
        <v>33</v>
      </c>
      <c r="F7" s="14">
        <f t="shared" si="2"/>
        <v>1666.6666666666667</v>
      </c>
      <c r="H7" s="11">
        <v>40</v>
      </c>
      <c r="I7" s="16">
        <v>2279</v>
      </c>
      <c r="J7" s="16">
        <f>+H7+I7</f>
        <v>2319</v>
      </c>
      <c r="K7" s="11">
        <v>33</v>
      </c>
      <c r="L7" s="11">
        <f t="shared" si="3"/>
        <v>27.27272727272727</v>
      </c>
      <c r="M7" s="11">
        <f t="shared" si="3"/>
        <v>-0.79610791685095095</v>
      </c>
      <c r="N7" s="11">
        <f t="shared" si="3"/>
        <v>-0.1295336787564767</v>
      </c>
      <c r="O7" s="14">
        <f t="shared" si="4"/>
        <v>1212.1212121212122</v>
      </c>
    </row>
    <row r="8" spans="1:16" x14ac:dyDescent="0.25">
      <c r="A8" s="17" t="s">
        <v>112</v>
      </c>
      <c r="B8" s="11">
        <v>51</v>
      </c>
      <c r="C8" s="16">
        <v>2286</v>
      </c>
      <c r="D8" s="16">
        <f t="shared" si="1"/>
        <v>2337</v>
      </c>
      <c r="E8" s="14">
        <v>33</v>
      </c>
      <c r="F8" s="14">
        <f t="shared" si="2"/>
        <v>1545.4545454545455</v>
      </c>
      <c r="H8" s="11">
        <v>65</v>
      </c>
      <c r="I8" s="16">
        <v>2413</v>
      </c>
      <c r="J8" s="16">
        <f t="shared" ref="J8:J12" si="5">+H8+I8</f>
        <v>2478</v>
      </c>
      <c r="K8" s="11">
        <v>33</v>
      </c>
      <c r="L8" s="11">
        <f t="shared" si="3"/>
        <v>-27.450980392156865</v>
      </c>
      <c r="M8" s="11">
        <f t="shared" si="3"/>
        <v>-5.5555555555555554</v>
      </c>
      <c r="N8" s="11">
        <f t="shared" si="3"/>
        <v>-6.033376123234917</v>
      </c>
      <c r="O8" s="14">
        <f t="shared" si="4"/>
        <v>1969.6969696969697</v>
      </c>
    </row>
    <row r="9" spans="1:16" x14ac:dyDescent="0.25">
      <c r="A9" s="17" t="s">
        <v>118</v>
      </c>
      <c r="B9" s="11">
        <v>63</v>
      </c>
      <c r="C9" s="16">
        <v>2601</v>
      </c>
      <c r="D9" s="16">
        <f t="shared" si="1"/>
        <v>2664</v>
      </c>
      <c r="E9" s="14">
        <v>33</v>
      </c>
      <c r="F9" s="14">
        <f t="shared" si="2"/>
        <v>1909.0909090909092</v>
      </c>
      <c r="H9" s="11">
        <v>49</v>
      </c>
      <c r="I9" s="16">
        <v>3243</v>
      </c>
      <c r="J9" s="16">
        <f t="shared" si="5"/>
        <v>3292</v>
      </c>
      <c r="K9" s="11">
        <v>33</v>
      </c>
      <c r="L9" s="11">
        <f t="shared" si="3"/>
        <v>22.222222222222221</v>
      </c>
      <c r="M9" s="11">
        <f t="shared" si="3"/>
        <v>-24.682814302191463</v>
      </c>
      <c r="N9" s="11">
        <f t="shared" si="3"/>
        <v>-23.573573573573572</v>
      </c>
      <c r="O9" s="14">
        <f t="shared" si="4"/>
        <v>1484.848484848485</v>
      </c>
    </row>
    <row r="10" spans="1:16" x14ac:dyDescent="0.25">
      <c r="A10" s="17" t="s">
        <v>119</v>
      </c>
      <c r="B10" s="11">
        <v>80</v>
      </c>
      <c r="C10" s="16">
        <v>2472</v>
      </c>
      <c r="D10" s="16">
        <f t="shared" si="1"/>
        <v>2552</v>
      </c>
      <c r="E10" s="14">
        <v>33</v>
      </c>
      <c r="F10" s="14">
        <f t="shared" si="2"/>
        <v>2424.2424242424245</v>
      </c>
      <c r="H10" s="11">
        <v>58</v>
      </c>
      <c r="I10" s="16">
        <v>2288</v>
      </c>
      <c r="J10" s="16">
        <f t="shared" si="5"/>
        <v>2346</v>
      </c>
      <c r="K10" s="11">
        <v>33</v>
      </c>
      <c r="L10" s="11">
        <f t="shared" si="3"/>
        <v>27.500000000000004</v>
      </c>
      <c r="M10" s="11">
        <f t="shared" si="3"/>
        <v>7.4433656957928811</v>
      </c>
      <c r="N10" s="11">
        <f t="shared" si="3"/>
        <v>8.0721003134796234</v>
      </c>
      <c r="O10" s="14">
        <f t="shared" si="4"/>
        <v>1757.5757575757577</v>
      </c>
    </row>
    <row r="11" spans="1:16" x14ac:dyDescent="0.25">
      <c r="A11" s="17" t="s">
        <v>116</v>
      </c>
      <c r="B11" s="16">
        <v>189</v>
      </c>
      <c r="C11" s="16">
        <v>12498</v>
      </c>
      <c r="D11" s="16">
        <f t="shared" si="1"/>
        <v>12687</v>
      </c>
      <c r="E11" s="14">
        <v>33</v>
      </c>
      <c r="F11" s="14">
        <f t="shared" si="2"/>
        <v>5727.2727272727279</v>
      </c>
      <c r="H11" s="16">
        <v>457</v>
      </c>
      <c r="I11" s="16">
        <v>18352</v>
      </c>
      <c r="J11" s="16">
        <f t="shared" si="5"/>
        <v>18809</v>
      </c>
      <c r="K11" s="11">
        <v>33</v>
      </c>
      <c r="L11" s="11">
        <f t="shared" si="3"/>
        <v>-141.7989417989418</v>
      </c>
      <c r="M11" s="11">
        <f t="shared" si="3"/>
        <v>-46.83949431909106</v>
      </c>
      <c r="N11" s="11">
        <f t="shared" si="3"/>
        <v>-48.254118388902022</v>
      </c>
      <c r="O11" s="14">
        <f>(1000/K11)*H11</f>
        <v>13848.48484848485</v>
      </c>
    </row>
    <row r="12" spans="1:16" x14ac:dyDescent="0.25">
      <c r="A12" s="17" t="s">
        <v>117</v>
      </c>
      <c r="B12" s="11">
        <v>84</v>
      </c>
      <c r="C12" s="16">
        <v>2588</v>
      </c>
      <c r="D12" s="16">
        <f t="shared" si="1"/>
        <v>2672</v>
      </c>
      <c r="E12" s="14">
        <v>33</v>
      </c>
      <c r="F12" s="14">
        <f t="shared" si="2"/>
        <v>2545.4545454545455</v>
      </c>
      <c r="H12" s="11">
        <v>69</v>
      </c>
      <c r="I12" s="16">
        <v>3028</v>
      </c>
      <c r="J12" s="16">
        <f t="shared" si="5"/>
        <v>3097</v>
      </c>
      <c r="K12" s="11">
        <v>33</v>
      </c>
      <c r="L12" s="11">
        <f t="shared" si="3"/>
        <v>17.857142857142858</v>
      </c>
      <c r="M12" s="11">
        <f t="shared" si="3"/>
        <v>-17.001545595054097</v>
      </c>
      <c r="N12" s="11">
        <f t="shared" si="3"/>
        <v>-15.905688622754491</v>
      </c>
      <c r="O12" s="14">
        <f t="shared" si="4"/>
        <v>2090.909090909091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3087.5420875420878</v>
      </c>
      <c r="G14" s="11">
        <f>_xlfn.STDEV.S(F4:F12)</f>
        <v>1960.259702231788</v>
      </c>
      <c r="L14" s="11">
        <f>AVERAGE(L4:L12)</f>
        <v>5.2226674200246226</v>
      </c>
      <c r="M14" s="11">
        <f>AVERAGE(M4:M12)</f>
        <v>-8.4217308726510751</v>
      </c>
      <c r="N14" s="11">
        <f>AVERAGE(N4:N12)</f>
        <v>-7.4505461614899673</v>
      </c>
      <c r="O14" s="14">
        <f>AVERAGE(O4:O12)</f>
        <v>3222.2222222222226</v>
      </c>
      <c r="P14" s="11">
        <f>_xlfn.STDEV.S(O4:O12)</f>
        <v>4061.2279035386791</v>
      </c>
    </row>
    <row r="19" spans="1:6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6" x14ac:dyDescent="0.25">
      <c r="A20" s="11" t="s">
        <v>223</v>
      </c>
      <c r="B20" s="11">
        <v>41281</v>
      </c>
      <c r="C20" s="16">
        <v>10386</v>
      </c>
      <c r="D20" s="16">
        <f>+B20+C20</f>
        <v>51667</v>
      </c>
      <c r="E20" s="14">
        <v>33</v>
      </c>
      <c r="F20" s="14">
        <f>(1000/E20)*B20</f>
        <v>1250939.393939394</v>
      </c>
    </row>
    <row r="21" spans="1:6" x14ac:dyDescent="0.25">
      <c r="A21" s="11" t="s">
        <v>258</v>
      </c>
      <c r="B21" s="11">
        <v>15</v>
      </c>
      <c r="C21" s="11">
        <v>6293</v>
      </c>
      <c r="D21" s="16">
        <f>+B21+C21</f>
        <v>6308</v>
      </c>
      <c r="E21" s="14">
        <v>34</v>
      </c>
      <c r="F21" s="14">
        <f>(1000/E21)*B21</f>
        <v>441.17647058823525</v>
      </c>
    </row>
    <row r="22" spans="1:6" x14ac:dyDescent="0.25">
      <c r="A22" s="11" t="s">
        <v>260</v>
      </c>
      <c r="B22" s="11">
        <v>39</v>
      </c>
      <c r="C22" s="11">
        <v>6493</v>
      </c>
      <c r="D22" s="16">
        <f>+B22+C22</f>
        <v>6532</v>
      </c>
      <c r="E22" s="14">
        <v>35</v>
      </c>
      <c r="F22" s="14">
        <f>(1000/E22)*B22</f>
        <v>1114.2857142857144</v>
      </c>
    </row>
    <row r="23" spans="1:6" x14ac:dyDescent="0.25">
      <c r="A23" s="11" t="s">
        <v>261</v>
      </c>
      <c r="B23" s="11">
        <v>21</v>
      </c>
      <c r="C23" s="11">
        <v>9954</v>
      </c>
      <c r="D23" s="16">
        <f>+B23+C23</f>
        <v>9975</v>
      </c>
      <c r="E23" s="14">
        <v>36</v>
      </c>
      <c r="F23" s="14">
        <f>(1000/E23)*B23</f>
        <v>583.33333333333337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C28" sqref="C28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128</v>
      </c>
      <c r="C4" s="16">
        <v>5227</v>
      </c>
      <c r="D4" s="16">
        <f>+B4+C4</f>
        <v>5355</v>
      </c>
      <c r="E4" s="14">
        <v>33</v>
      </c>
      <c r="F4" s="14">
        <f>(1000/E4)*B4</f>
        <v>3878.787878787879</v>
      </c>
      <c r="H4" s="11">
        <v>132</v>
      </c>
      <c r="I4" s="16">
        <v>5759</v>
      </c>
      <c r="J4" s="16">
        <f t="shared" ref="J4:J5" si="0">+H4+I4</f>
        <v>5891</v>
      </c>
      <c r="K4" s="11">
        <v>33</v>
      </c>
      <c r="L4" s="11">
        <f>+(B4-H4)/B4*100</f>
        <v>-3.125</v>
      </c>
      <c r="M4" s="11">
        <f>+(C4-I4)/C4*100</f>
        <v>-10.177922326382246</v>
      </c>
      <c r="N4" s="11">
        <f>+(D4-J4)/D4*100</f>
        <v>-10.009337068160598</v>
      </c>
      <c r="O4" s="14">
        <f>(1000/K4)*H4</f>
        <v>4000</v>
      </c>
    </row>
    <row r="5" spans="1:16" x14ac:dyDescent="0.25">
      <c r="A5" s="17" t="s">
        <v>113</v>
      </c>
      <c r="B5" s="11">
        <v>48</v>
      </c>
      <c r="C5" s="16">
        <v>5019</v>
      </c>
      <c r="D5" s="16">
        <f t="shared" ref="D5:D12" si="1">+B5+C5</f>
        <v>5067</v>
      </c>
      <c r="E5" s="14">
        <v>33</v>
      </c>
      <c r="F5" s="14">
        <f t="shared" ref="F5:F12" si="2">(1000/E5)*B5</f>
        <v>1454.5454545454545</v>
      </c>
      <c r="H5" s="11">
        <v>63</v>
      </c>
      <c r="I5" s="16">
        <v>13138</v>
      </c>
      <c r="J5" s="16">
        <f t="shared" si="0"/>
        <v>13201</v>
      </c>
      <c r="K5" s="11">
        <v>33</v>
      </c>
      <c r="L5" s="11">
        <f>+(B5-H5)/B5*100</f>
        <v>-31.25</v>
      </c>
      <c r="M5" s="11">
        <f t="shared" ref="L5:N12" si="3">+(C5-I5)/C5*100</f>
        <v>-161.76529189081489</v>
      </c>
      <c r="N5" s="11">
        <f>+(D5-J5)/D5*100</f>
        <v>-160.52891257154133</v>
      </c>
      <c r="O5" s="14">
        <f t="shared" ref="O5:O12" si="4">(1000/K5)*H5</f>
        <v>1909.0909090909092</v>
      </c>
    </row>
    <row r="6" spans="1:16" x14ac:dyDescent="0.25">
      <c r="A6" s="17" t="s">
        <v>115</v>
      </c>
      <c r="B6" s="11">
        <v>234</v>
      </c>
      <c r="C6" s="11">
        <v>6882</v>
      </c>
      <c r="D6" s="16">
        <f>+B6+C6</f>
        <v>7116</v>
      </c>
      <c r="E6" s="14">
        <v>33</v>
      </c>
      <c r="F6" s="14">
        <f t="shared" si="2"/>
        <v>7090.909090909091</v>
      </c>
      <c r="H6" s="11">
        <v>74</v>
      </c>
      <c r="I6" s="16">
        <v>6787</v>
      </c>
      <c r="J6" s="16">
        <f>+H6+I6</f>
        <v>6861</v>
      </c>
      <c r="K6" s="11">
        <v>33</v>
      </c>
      <c r="L6" s="11">
        <f t="shared" si="3"/>
        <v>68.376068376068375</v>
      </c>
      <c r="M6" s="11">
        <f>+(C6-I6)/C6*100</f>
        <v>1.3804126707352513</v>
      </c>
      <c r="N6" s="11">
        <f>+(D6-J6)/D6*100</f>
        <v>3.5834738617200679</v>
      </c>
      <c r="O6" s="14">
        <f t="shared" si="4"/>
        <v>2242.4242424242425</v>
      </c>
    </row>
    <row r="7" spans="1:16" x14ac:dyDescent="0.25">
      <c r="A7" s="17" t="s">
        <v>114</v>
      </c>
      <c r="B7" s="11">
        <v>243</v>
      </c>
      <c r="C7" s="11">
        <v>7194</v>
      </c>
      <c r="D7" s="16">
        <f t="shared" si="1"/>
        <v>7437</v>
      </c>
      <c r="E7" s="14">
        <v>33</v>
      </c>
      <c r="F7" s="14">
        <f t="shared" si="2"/>
        <v>7363.636363636364</v>
      </c>
      <c r="H7" s="11">
        <v>48</v>
      </c>
      <c r="I7" s="16">
        <v>7503</v>
      </c>
      <c r="J7" s="16">
        <f>+H7+I7</f>
        <v>7551</v>
      </c>
      <c r="K7" s="11">
        <v>33</v>
      </c>
      <c r="L7" s="11">
        <f t="shared" si="3"/>
        <v>80.246913580246911</v>
      </c>
      <c r="M7" s="11">
        <f t="shared" si="3"/>
        <v>-4.2952460383653044</v>
      </c>
      <c r="N7" s="11">
        <f t="shared" si="3"/>
        <v>-1.5328761597418314</v>
      </c>
      <c r="O7" s="14">
        <f t="shared" si="4"/>
        <v>1454.5454545454545</v>
      </c>
    </row>
    <row r="8" spans="1:16" x14ac:dyDescent="0.25">
      <c r="A8" s="17" t="s">
        <v>112</v>
      </c>
      <c r="B8" s="11">
        <v>108</v>
      </c>
      <c r="C8" s="16">
        <v>5042</v>
      </c>
      <c r="D8" s="16">
        <f t="shared" si="1"/>
        <v>5150</v>
      </c>
      <c r="E8" s="14">
        <v>33</v>
      </c>
      <c r="F8" s="14">
        <f t="shared" si="2"/>
        <v>3272.727272727273</v>
      </c>
      <c r="H8" s="11">
        <v>75</v>
      </c>
      <c r="I8" s="16">
        <v>6276</v>
      </c>
      <c r="J8" s="16">
        <f t="shared" ref="J8:J12" si="5">+H8+I8</f>
        <v>6351</v>
      </c>
      <c r="K8" s="11">
        <v>33</v>
      </c>
      <c r="L8" s="11">
        <f t="shared" si="3"/>
        <v>30.555555555555557</v>
      </c>
      <c r="M8" s="11">
        <f t="shared" si="3"/>
        <v>-24.474414914716384</v>
      </c>
      <c r="N8" s="11">
        <f t="shared" si="3"/>
        <v>-23.320388349514563</v>
      </c>
      <c r="O8" s="14">
        <f t="shared" si="4"/>
        <v>2272.727272727273</v>
      </c>
    </row>
    <row r="9" spans="1:16" x14ac:dyDescent="0.25">
      <c r="A9" s="17" t="s">
        <v>118</v>
      </c>
      <c r="B9" s="11">
        <v>95</v>
      </c>
      <c r="C9" s="16">
        <v>6846</v>
      </c>
      <c r="D9" s="16">
        <f t="shared" si="1"/>
        <v>6941</v>
      </c>
      <c r="E9" s="14">
        <v>33</v>
      </c>
      <c r="F9" s="14">
        <f t="shared" si="2"/>
        <v>2878.787878787879</v>
      </c>
      <c r="H9" s="11">
        <v>76</v>
      </c>
      <c r="I9" s="16">
        <v>11533</v>
      </c>
      <c r="J9" s="16">
        <f t="shared" si="5"/>
        <v>11609</v>
      </c>
      <c r="K9" s="11">
        <v>33</v>
      </c>
      <c r="L9" s="11">
        <f t="shared" si="3"/>
        <v>20</v>
      </c>
      <c r="M9" s="11">
        <f t="shared" si="3"/>
        <v>-68.463336254747304</v>
      </c>
      <c r="N9" s="11">
        <f t="shared" si="3"/>
        <v>-67.252557268405127</v>
      </c>
      <c r="O9" s="14">
        <f t="shared" si="4"/>
        <v>2303.030303030303</v>
      </c>
    </row>
    <row r="10" spans="1:16" x14ac:dyDescent="0.25">
      <c r="A10" s="17" t="s">
        <v>119</v>
      </c>
      <c r="B10" s="11">
        <v>66</v>
      </c>
      <c r="C10" s="16">
        <v>4158</v>
      </c>
      <c r="D10" s="16">
        <f t="shared" si="1"/>
        <v>4224</v>
      </c>
      <c r="E10" s="14">
        <v>33</v>
      </c>
      <c r="F10" s="14">
        <f t="shared" si="2"/>
        <v>2000</v>
      </c>
      <c r="H10" s="11">
        <v>79</v>
      </c>
      <c r="I10" s="16">
        <v>6431</v>
      </c>
      <c r="J10" s="16">
        <f t="shared" si="5"/>
        <v>6510</v>
      </c>
      <c r="K10" s="11">
        <v>33</v>
      </c>
      <c r="L10" s="11">
        <f t="shared" si="3"/>
        <v>-19.696969696969695</v>
      </c>
      <c r="M10" s="11">
        <f t="shared" si="3"/>
        <v>-54.665704665704659</v>
      </c>
      <c r="N10" s="11">
        <f t="shared" si="3"/>
        <v>-54.11931818181818</v>
      </c>
      <c r="O10" s="14">
        <f t="shared" si="4"/>
        <v>2393.939393939394</v>
      </c>
    </row>
    <row r="11" spans="1:16" x14ac:dyDescent="0.25">
      <c r="A11" s="17" t="s">
        <v>116</v>
      </c>
      <c r="B11" s="16">
        <v>146</v>
      </c>
      <c r="C11" s="16">
        <v>6688</v>
      </c>
      <c r="D11" s="16">
        <f t="shared" si="1"/>
        <v>6834</v>
      </c>
      <c r="E11" s="14">
        <v>33</v>
      </c>
      <c r="F11" s="14">
        <f t="shared" si="2"/>
        <v>4424.242424242424</v>
      </c>
      <c r="H11" s="16">
        <v>79</v>
      </c>
      <c r="I11" s="16">
        <v>9181</v>
      </c>
      <c r="J11" s="16">
        <f t="shared" si="5"/>
        <v>9260</v>
      </c>
      <c r="K11" s="11">
        <v>33</v>
      </c>
      <c r="L11" s="11">
        <f t="shared" si="3"/>
        <v>45.890410958904113</v>
      </c>
      <c r="M11" s="11">
        <f t="shared" si="3"/>
        <v>-37.275717703349279</v>
      </c>
      <c r="N11" s="11">
        <f t="shared" si="3"/>
        <v>-35.49897570968686</v>
      </c>
      <c r="O11" s="14">
        <f>(1000/K11)*H11</f>
        <v>2393.939393939394</v>
      </c>
    </row>
    <row r="12" spans="1:16" x14ac:dyDescent="0.25">
      <c r="A12" s="17" t="s">
        <v>117</v>
      </c>
      <c r="B12" s="11">
        <v>154</v>
      </c>
      <c r="C12" s="16">
        <v>4232</v>
      </c>
      <c r="D12" s="16">
        <f t="shared" si="1"/>
        <v>4386</v>
      </c>
      <c r="E12" s="14">
        <v>33</v>
      </c>
      <c r="F12" s="14">
        <f t="shared" si="2"/>
        <v>4666.666666666667</v>
      </c>
      <c r="H12" s="11">
        <v>86</v>
      </c>
      <c r="I12" s="16">
        <v>7795</v>
      </c>
      <c r="J12" s="16">
        <f t="shared" si="5"/>
        <v>7881</v>
      </c>
      <c r="K12" s="11">
        <v>33</v>
      </c>
      <c r="L12" s="11">
        <f t="shared" si="3"/>
        <v>44.155844155844157</v>
      </c>
      <c r="M12" s="11">
        <f t="shared" si="3"/>
        <v>-84.19187145557656</v>
      </c>
      <c r="N12" s="11">
        <f t="shared" si="3"/>
        <v>-79.685362517099861</v>
      </c>
      <c r="O12" s="14">
        <f t="shared" si="4"/>
        <v>2606.060606060606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4114.4781144781145</v>
      </c>
      <c r="G14" s="11">
        <f>_xlfn.STDEV.S(F4:F12)</f>
        <v>2051.0461046638593</v>
      </c>
      <c r="L14" s="11">
        <f>AVERAGE(L4:L12)</f>
        <v>26.128091436627713</v>
      </c>
      <c r="M14" s="11">
        <f>AVERAGE(M4:M12)</f>
        <v>-49.325454730991268</v>
      </c>
      <c r="N14" s="11">
        <f>AVERAGE(N4:N12)</f>
        <v>-47.596028218249806</v>
      </c>
      <c r="O14" s="14">
        <f>AVERAGE(O4:O12)</f>
        <v>2397.3063973063972</v>
      </c>
      <c r="P14" s="11">
        <f>_xlfn.STDEV.S(O4:O12)</f>
        <v>688.0930857698072</v>
      </c>
    </row>
    <row r="19" spans="1:6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6" x14ac:dyDescent="0.25">
      <c r="A20" s="11" t="s">
        <v>223</v>
      </c>
      <c r="B20" s="11">
        <v>54697</v>
      </c>
      <c r="C20" s="16">
        <v>26448</v>
      </c>
      <c r="D20" s="16">
        <f>+B20+C20</f>
        <v>81145</v>
      </c>
      <c r="E20" s="14">
        <v>33</v>
      </c>
      <c r="F20" s="14">
        <f>(1000/E20)*B20</f>
        <v>1657484.8484848486</v>
      </c>
    </row>
    <row r="21" spans="1:6" x14ac:dyDescent="0.25">
      <c r="A21" s="11" t="s">
        <v>258</v>
      </c>
      <c r="B21" s="11">
        <v>88</v>
      </c>
      <c r="C21" s="11">
        <v>26346</v>
      </c>
      <c r="D21" s="16">
        <f>+B21+C21</f>
        <v>26434</v>
      </c>
      <c r="E21" s="14">
        <v>34</v>
      </c>
      <c r="F21" s="14">
        <f>(1000/E21)*B21</f>
        <v>2588.2352941176468</v>
      </c>
    </row>
    <row r="22" spans="1:6" x14ac:dyDescent="0.25">
      <c r="A22" s="11" t="s">
        <v>260</v>
      </c>
      <c r="B22" s="11">
        <v>19</v>
      </c>
      <c r="C22" s="11">
        <v>6208</v>
      </c>
      <c r="D22" s="16">
        <f>+B22+C22</f>
        <v>6227</v>
      </c>
      <c r="E22" s="14">
        <v>35</v>
      </c>
      <c r="F22" s="14">
        <f>(1000/E22)*B22</f>
        <v>542.85714285714289</v>
      </c>
    </row>
    <row r="23" spans="1:6" x14ac:dyDescent="0.25">
      <c r="A23" s="11" t="s">
        <v>261</v>
      </c>
      <c r="B23" s="11">
        <v>56</v>
      </c>
      <c r="C23" s="11">
        <v>8409</v>
      </c>
      <c r="D23" s="16">
        <f>+B23+C23</f>
        <v>8465</v>
      </c>
      <c r="E23" s="14">
        <v>36</v>
      </c>
      <c r="F23" s="14">
        <f>(1000/E23)*B23</f>
        <v>1555.5555555555557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D20" sqref="D20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307</v>
      </c>
      <c r="C4" s="16">
        <v>15134</v>
      </c>
      <c r="D4" s="16">
        <f>+B4+C4</f>
        <v>15441</v>
      </c>
      <c r="E4" s="14">
        <v>33</v>
      </c>
      <c r="F4" s="14">
        <f>(1000/E4)*B4</f>
        <v>9303.0303030303039</v>
      </c>
      <c r="H4" s="11">
        <v>190</v>
      </c>
      <c r="I4" s="16">
        <v>17122</v>
      </c>
      <c r="J4" s="16">
        <f t="shared" ref="J4:J5" si="0">+H4+I4</f>
        <v>17312</v>
      </c>
      <c r="K4" s="11">
        <v>33</v>
      </c>
      <c r="L4" s="11">
        <f>+(B4-H4)/B4*100</f>
        <v>38.11074918566775</v>
      </c>
      <c r="M4" s="11">
        <f>+(C4-I4)/C4*100</f>
        <v>-13.135985198889916</v>
      </c>
      <c r="N4" s="11">
        <f>+(D4-J4)/D4*100</f>
        <v>-12.117090861990803</v>
      </c>
      <c r="O4" s="14">
        <f>(1000/K4)*H4</f>
        <v>5757.575757575758</v>
      </c>
    </row>
    <row r="5" spans="1:16" x14ac:dyDescent="0.25">
      <c r="A5" s="17" t="s">
        <v>113</v>
      </c>
      <c r="B5" s="11">
        <v>1326</v>
      </c>
      <c r="C5" s="16">
        <v>18896</v>
      </c>
      <c r="D5" s="16">
        <f t="shared" ref="D5:D12" si="1">+B5+C5</f>
        <v>20222</v>
      </c>
      <c r="E5" s="14">
        <v>33</v>
      </c>
      <c r="F5" s="14">
        <f t="shared" ref="F5:F12" si="2">(1000/E5)*B5</f>
        <v>40181.818181818184</v>
      </c>
      <c r="H5" s="11">
        <v>116</v>
      </c>
      <c r="I5" s="16">
        <v>11794</v>
      </c>
      <c r="J5" s="16">
        <f t="shared" si="0"/>
        <v>11910</v>
      </c>
      <c r="K5" s="11">
        <v>33</v>
      </c>
      <c r="L5" s="11">
        <f>+(B5-H5)/B5*100</f>
        <v>91.251885369532431</v>
      </c>
      <c r="M5" s="11">
        <f t="shared" ref="L5:N12" si="3">+(C5-I5)/C5*100</f>
        <v>37.584674005080444</v>
      </c>
      <c r="N5" s="11">
        <f>+(D5-J5)/D5*100</f>
        <v>41.103748392839485</v>
      </c>
      <c r="O5" s="14">
        <f t="shared" ref="O5:O12" si="4">(1000/K5)*H5</f>
        <v>3515.1515151515155</v>
      </c>
    </row>
    <row r="6" spans="1:16" x14ac:dyDescent="0.25">
      <c r="A6" s="17" t="s">
        <v>115</v>
      </c>
      <c r="B6" s="11">
        <v>131</v>
      </c>
      <c r="C6" s="11">
        <v>11988</v>
      </c>
      <c r="D6" s="16">
        <f>+B6+C6</f>
        <v>12119</v>
      </c>
      <c r="E6" s="14">
        <v>33</v>
      </c>
      <c r="F6" s="14">
        <f t="shared" si="2"/>
        <v>3969.69696969697</v>
      </c>
      <c r="H6" s="11">
        <v>71</v>
      </c>
      <c r="I6" s="16">
        <v>6065</v>
      </c>
      <c r="J6" s="16">
        <f>+H6+I6</f>
        <v>6136</v>
      </c>
      <c r="K6" s="11">
        <v>33</v>
      </c>
      <c r="L6" s="11">
        <f t="shared" si="3"/>
        <v>45.801526717557252</v>
      </c>
      <c r="M6" s="11">
        <f>+(C6-I6)/C6*100</f>
        <v>49.407741074407738</v>
      </c>
      <c r="N6" s="11">
        <f>+(D6-J6)/D6*100</f>
        <v>49.368759798663255</v>
      </c>
      <c r="O6" s="14">
        <f t="shared" si="4"/>
        <v>2151.5151515151515</v>
      </c>
    </row>
    <row r="7" spans="1:16" x14ac:dyDescent="0.25">
      <c r="A7" s="17" t="s">
        <v>114</v>
      </c>
      <c r="B7" s="11">
        <v>207</v>
      </c>
      <c r="C7" s="11">
        <v>9547</v>
      </c>
      <c r="D7" s="16">
        <f t="shared" si="1"/>
        <v>9754</v>
      </c>
      <c r="E7" s="14">
        <v>33</v>
      </c>
      <c r="F7" s="14">
        <f t="shared" si="2"/>
        <v>6272.727272727273</v>
      </c>
      <c r="H7" s="11">
        <v>55</v>
      </c>
      <c r="I7" s="16">
        <v>5177</v>
      </c>
      <c r="J7" s="16">
        <f>+H7+I7</f>
        <v>5232</v>
      </c>
      <c r="K7" s="11">
        <v>33</v>
      </c>
      <c r="L7" s="11">
        <f t="shared" si="3"/>
        <v>73.429951690821255</v>
      </c>
      <c r="M7" s="11">
        <f t="shared" si="3"/>
        <v>45.77354142662616</v>
      </c>
      <c r="N7" s="11">
        <f t="shared" si="3"/>
        <v>46.360467500512605</v>
      </c>
      <c r="O7" s="14">
        <f t="shared" si="4"/>
        <v>1666.6666666666667</v>
      </c>
    </row>
    <row r="8" spans="1:16" x14ac:dyDescent="0.25">
      <c r="A8" s="17" t="s">
        <v>112</v>
      </c>
      <c r="B8" s="11">
        <v>1015</v>
      </c>
      <c r="C8" s="16">
        <v>10725</v>
      </c>
      <c r="D8" s="16">
        <f t="shared" si="1"/>
        <v>11740</v>
      </c>
      <c r="E8" s="14">
        <v>33</v>
      </c>
      <c r="F8" s="14">
        <f t="shared" si="2"/>
        <v>30757.57575757576</v>
      </c>
      <c r="H8" s="11">
        <v>139</v>
      </c>
      <c r="I8" s="16">
        <v>5701</v>
      </c>
      <c r="J8" s="16">
        <f t="shared" ref="J8:J12" si="5">+H8+I8</f>
        <v>5840</v>
      </c>
      <c r="K8" s="11">
        <v>33</v>
      </c>
      <c r="L8" s="11">
        <f t="shared" si="3"/>
        <v>86.305418719211829</v>
      </c>
      <c r="M8" s="11">
        <f t="shared" si="3"/>
        <v>46.843822843822849</v>
      </c>
      <c r="N8" s="11">
        <f t="shared" si="3"/>
        <v>50.255536626916516</v>
      </c>
      <c r="O8" s="14">
        <f t="shared" si="4"/>
        <v>4212.121212121212</v>
      </c>
    </row>
    <row r="9" spans="1:16" x14ac:dyDescent="0.25">
      <c r="A9" s="17" t="s">
        <v>118</v>
      </c>
      <c r="B9" s="11">
        <v>225</v>
      </c>
      <c r="C9" s="16">
        <v>7308</v>
      </c>
      <c r="D9" s="16">
        <f t="shared" si="1"/>
        <v>7533</v>
      </c>
      <c r="E9" s="14">
        <v>33</v>
      </c>
      <c r="F9" s="14">
        <f t="shared" si="2"/>
        <v>6818.1818181818189</v>
      </c>
      <c r="H9" s="11">
        <v>104</v>
      </c>
      <c r="I9" s="16">
        <v>6120</v>
      </c>
      <c r="J9" s="16">
        <f t="shared" si="5"/>
        <v>6224</v>
      </c>
      <c r="K9" s="11">
        <v>33</v>
      </c>
      <c r="L9" s="11">
        <f t="shared" si="3"/>
        <v>53.777777777777779</v>
      </c>
      <c r="M9" s="11">
        <f t="shared" si="3"/>
        <v>16.256157635467979</v>
      </c>
      <c r="N9" s="11">
        <f t="shared" si="3"/>
        <v>17.376875082968272</v>
      </c>
      <c r="O9" s="14">
        <f t="shared" si="4"/>
        <v>3151.5151515151515</v>
      </c>
    </row>
    <row r="10" spans="1:16" x14ac:dyDescent="0.25">
      <c r="A10" s="17" t="s">
        <v>119</v>
      </c>
      <c r="B10" s="11">
        <v>358</v>
      </c>
      <c r="C10" s="16">
        <v>9087</v>
      </c>
      <c r="D10" s="16">
        <f t="shared" si="1"/>
        <v>9445</v>
      </c>
      <c r="E10" s="14">
        <v>33</v>
      </c>
      <c r="F10" s="14">
        <f t="shared" si="2"/>
        <v>10848.48484848485</v>
      </c>
      <c r="H10" s="11">
        <v>64</v>
      </c>
      <c r="I10" s="16">
        <v>8165</v>
      </c>
      <c r="J10" s="16">
        <f t="shared" si="5"/>
        <v>8229</v>
      </c>
      <c r="K10" s="11">
        <v>33</v>
      </c>
      <c r="L10" s="11">
        <f t="shared" si="3"/>
        <v>82.122905027932958</v>
      </c>
      <c r="M10" s="11">
        <f t="shared" si="3"/>
        <v>10.146362936062507</v>
      </c>
      <c r="N10" s="11">
        <f t="shared" si="3"/>
        <v>12.874536791953414</v>
      </c>
      <c r="O10" s="14">
        <f t="shared" si="4"/>
        <v>1939.3939393939395</v>
      </c>
    </row>
    <row r="11" spans="1:16" x14ac:dyDescent="0.25">
      <c r="A11" s="17" t="s">
        <v>116</v>
      </c>
      <c r="B11" s="16">
        <v>184</v>
      </c>
      <c r="C11" s="16">
        <v>12413</v>
      </c>
      <c r="D11" s="16">
        <f t="shared" si="1"/>
        <v>12597</v>
      </c>
      <c r="E11" s="14">
        <v>33</v>
      </c>
      <c r="F11" s="14">
        <f t="shared" si="2"/>
        <v>5575.757575757576</v>
      </c>
      <c r="H11" s="16">
        <v>108</v>
      </c>
      <c r="I11" s="16">
        <v>7339</v>
      </c>
      <c r="J11" s="16">
        <f t="shared" si="5"/>
        <v>7447</v>
      </c>
      <c r="K11" s="11">
        <v>33</v>
      </c>
      <c r="L11" s="11">
        <f t="shared" si="3"/>
        <v>41.304347826086953</v>
      </c>
      <c r="M11" s="11">
        <f t="shared" si="3"/>
        <v>40.876500443083863</v>
      </c>
      <c r="N11" s="11">
        <f t="shared" si="3"/>
        <v>40.882749861078032</v>
      </c>
      <c r="O11" s="14">
        <f>(1000/K11)*H11</f>
        <v>3272.727272727273</v>
      </c>
    </row>
    <row r="12" spans="1:16" x14ac:dyDescent="0.25">
      <c r="A12" s="17" t="s">
        <v>117</v>
      </c>
      <c r="B12" s="11">
        <v>147</v>
      </c>
      <c r="C12" s="16">
        <v>9492</v>
      </c>
      <c r="D12" s="16">
        <f t="shared" si="1"/>
        <v>9639</v>
      </c>
      <c r="E12" s="14">
        <v>33</v>
      </c>
      <c r="F12" s="14">
        <f t="shared" si="2"/>
        <v>4454.545454545455</v>
      </c>
      <c r="H12" s="11">
        <v>137</v>
      </c>
      <c r="I12" s="16">
        <v>6957</v>
      </c>
      <c r="J12" s="16">
        <f t="shared" si="5"/>
        <v>7094</v>
      </c>
      <c r="K12" s="11">
        <v>33</v>
      </c>
      <c r="L12" s="11">
        <f t="shared" si="3"/>
        <v>6.8027210884353746</v>
      </c>
      <c r="M12" s="11">
        <f t="shared" si="3"/>
        <v>26.706700379266753</v>
      </c>
      <c r="N12" s="11">
        <f t="shared" si="3"/>
        <v>26.403153854134249</v>
      </c>
      <c r="O12" s="14">
        <f t="shared" si="4"/>
        <v>4151.515151515152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13131.313131313133</v>
      </c>
      <c r="G14" s="11">
        <f>_xlfn.STDEV.S(F4:F12)</f>
        <v>13064.674540332486</v>
      </c>
      <c r="L14" s="11">
        <f>AVERAGE(L4:L12)</f>
        <v>57.656364822558189</v>
      </c>
      <c r="M14" s="11">
        <f>AVERAGE(M4:M12)</f>
        <v>28.939946171658715</v>
      </c>
      <c r="N14" s="11">
        <f>AVERAGE(N4:N12)</f>
        <v>30.278748560786116</v>
      </c>
      <c r="O14" s="14">
        <f>AVERAGE(O4:O12)</f>
        <v>3313.1313131313132</v>
      </c>
      <c r="P14" s="11">
        <f>_xlfn.STDEV.S(O4:O12)</f>
        <v>1299.1485521349105</v>
      </c>
    </row>
    <row r="19" spans="1:6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6" x14ac:dyDescent="0.25">
      <c r="A20" s="11" t="s">
        <v>223</v>
      </c>
      <c r="B20" s="11">
        <v>69122</v>
      </c>
      <c r="C20" s="16">
        <v>60372</v>
      </c>
      <c r="D20" s="16">
        <f>+B20+C20</f>
        <v>129494</v>
      </c>
      <c r="E20" s="14">
        <v>33</v>
      </c>
      <c r="F20" s="14">
        <f>(1000/E20)*B20</f>
        <v>2094606.0606060608</v>
      </c>
    </row>
    <row r="21" spans="1:6" x14ac:dyDescent="0.25">
      <c r="A21" s="11" t="s">
        <v>258</v>
      </c>
      <c r="B21" s="11">
        <v>24</v>
      </c>
      <c r="C21" s="11">
        <v>10936</v>
      </c>
      <c r="D21" s="16">
        <f>+B21+C21</f>
        <v>10960</v>
      </c>
      <c r="E21" s="14">
        <v>34</v>
      </c>
      <c r="F21" s="14">
        <f>(1000/E21)*B21</f>
        <v>705.88235294117646</v>
      </c>
    </row>
    <row r="22" spans="1:6" x14ac:dyDescent="0.25">
      <c r="A22" s="11" t="s">
        <v>260</v>
      </c>
      <c r="D22" s="16">
        <f>+B22+C22</f>
        <v>0</v>
      </c>
      <c r="E22" s="14">
        <v>35</v>
      </c>
      <c r="F22" s="14">
        <f>(1000/E22)*B22</f>
        <v>0</v>
      </c>
    </row>
    <row r="23" spans="1:6" x14ac:dyDescent="0.25">
      <c r="A23" s="11" t="s">
        <v>261</v>
      </c>
      <c r="D23" s="16">
        <f>+B23+C23</f>
        <v>0</v>
      </c>
      <c r="E23" s="14">
        <v>36</v>
      </c>
      <c r="F23" s="14">
        <f>(1000/E23)*B23</f>
        <v>0</v>
      </c>
    </row>
    <row r="28" spans="1:6" x14ac:dyDescent="0.25">
      <c r="E28" s="16"/>
      <c r="F28" s="16"/>
    </row>
    <row r="29" spans="1:6" x14ac:dyDescent="0.25">
      <c r="E29" s="16"/>
      <c r="F29" s="16"/>
    </row>
    <row r="30" spans="1:6" x14ac:dyDescent="0.25">
      <c r="E30" s="16"/>
      <c r="F30" s="16"/>
    </row>
    <row r="31" spans="1:6" x14ac:dyDescent="0.25">
      <c r="E31" s="16"/>
      <c r="F31" s="16"/>
    </row>
    <row r="32" spans="1:6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E23" sqref="E23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101</v>
      </c>
      <c r="C4" s="16">
        <v>2113</v>
      </c>
      <c r="D4" s="16">
        <f>+B4+C4</f>
        <v>2214</v>
      </c>
      <c r="E4" s="14">
        <v>33</v>
      </c>
      <c r="F4" s="14">
        <f>(1000/E4)*B4</f>
        <v>3060.606060606061</v>
      </c>
      <c r="H4" s="11">
        <v>103</v>
      </c>
      <c r="I4" s="16">
        <v>2073</v>
      </c>
      <c r="J4" s="16">
        <f t="shared" ref="J4:J5" si="0">+H4+I4</f>
        <v>2176</v>
      </c>
      <c r="K4" s="11">
        <v>33</v>
      </c>
      <c r="L4" s="11">
        <f>+(B4-H4)/B4*100</f>
        <v>-1.9801980198019802</v>
      </c>
      <c r="M4" s="11">
        <f>+(C4-I4)/C4*100</f>
        <v>1.893043066729768</v>
      </c>
      <c r="N4" s="11">
        <f>+(D4-J4)/D4*100</f>
        <v>1.7163504968383017</v>
      </c>
      <c r="O4" s="14">
        <f>(1000/K4)*H4</f>
        <v>3121.2121212121215</v>
      </c>
    </row>
    <row r="5" spans="1:16" x14ac:dyDescent="0.25">
      <c r="A5" s="17" t="s">
        <v>113</v>
      </c>
      <c r="B5" s="11">
        <v>94</v>
      </c>
      <c r="C5" s="16">
        <v>1708</v>
      </c>
      <c r="D5" s="16">
        <f t="shared" ref="D5:D12" si="1">+B5+C5</f>
        <v>1802</v>
      </c>
      <c r="E5" s="14">
        <v>33</v>
      </c>
      <c r="F5" s="14">
        <f t="shared" ref="F5:F12" si="2">(1000/E5)*B5</f>
        <v>2848.4848484848485</v>
      </c>
      <c r="H5" s="11">
        <v>35</v>
      </c>
      <c r="I5" s="16">
        <v>2074</v>
      </c>
      <c r="J5" s="16">
        <f t="shared" si="0"/>
        <v>2109</v>
      </c>
      <c r="K5" s="11">
        <v>33</v>
      </c>
      <c r="L5" s="11">
        <f>+(B5-H5)/B5*100</f>
        <v>62.765957446808507</v>
      </c>
      <c r="M5" s="11">
        <f t="shared" ref="L5:N12" si="3">+(C5-I5)/C5*100</f>
        <v>-21.428571428571427</v>
      </c>
      <c r="N5" s="11">
        <f>+(D5-J5)/D5*100</f>
        <v>-17.036625971143174</v>
      </c>
      <c r="O5" s="14">
        <f t="shared" ref="O5:O12" si="4">(1000/K5)*H5</f>
        <v>1060.6060606060607</v>
      </c>
    </row>
    <row r="6" spans="1:16" x14ac:dyDescent="0.25">
      <c r="A6" s="17" t="s">
        <v>115</v>
      </c>
      <c r="B6" s="11">
        <v>91</v>
      </c>
      <c r="C6" s="11">
        <v>2681</v>
      </c>
      <c r="D6" s="16">
        <f>+B6+C6</f>
        <v>2772</v>
      </c>
      <c r="E6" s="14">
        <v>33</v>
      </c>
      <c r="F6" s="14">
        <f t="shared" si="2"/>
        <v>2757.5757575757575</v>
      </c>
      <c r="H6" s="11">
        <v>63</v>
      </c>
      <c r="I6" s="16">
        <v>2247</v>
      </c>
      <c r="J6" s="16">
        <f>+H6+I6</f>
        <v>2310</v>
      </c>
      <c r="K6" s="11">
        <v>33</v>
      </c>
      <c r="L6" s="11">
        <f t="shared" si="3"/>
        <v>30.76923076923077</v>
      </c>
      <c r="M6" s="11">
        <f>+(C6-I6)/C6*100</f>
        <v>16.187989556135772</v>
      </c>
      <c r="N6" s="11">
        <f>+(D6-J6)/D6*100</f>
        <v>16.666666666666664</v>
      </c>
      <c r="O6" s="14">
        <f t="shared" si="4"/>
        <v>1909.0909090909092</v>
      </c>
    </row>
    <row r="7" spans="1:16" x14ac:dyDescent="0.25">
      <c r="A7" s="17" t="s">
        <v>114</v>
      </c>
      <c r="B7" s="11">
        <v>55</v>
      </c>
      <c r="C7" s="11">
        <v>2058</v>
      </c>
      <c r="D7" s="16">
        <f t="shared" si="1"/>
        <v>2113</v>
      </c>
      <c r="E7" s="14">
        <v>33</v>
      </c>
      <c r="F7" s="14">
        <f t="shared" si="2"/>
        <v>1666.6666666666667</v>
      </c>
      <c r="H7" s="11">
        <v>37</v>
      </c>
      <c r="I7" s="16">
        <v>1717</v>
      </c>
      <c r="J7" s="16">
        <f>+H7+I7</f>
        <v>1754</v>
      </c>
      <c r="K7" s="11">
        <v>33</v>
      </c>
      <c r="L7" s="11">
        <f t="shared" si="3"/>
        <v>32.727272727272727</v>
      </c>
      <c r="M7" s="11">
        <f t="shared" si="3"/>
        <v>16.569484936831877</v>
      </c>
      <c r="N7" s="11">
        <f t="shared" si="3"/>
        <v>16.990061523899669</v>
      </c>
      <c r="O7" s="14">
        <f t="shared" si="4"/>
        <v>1121.2121212121212</v>
      </c>
    </row>
    <row r="8" spans="1:16" x14ac:dyDescent="0.25">
      <c r="A8" s="17" t="s">
        <v>112</v>
      </c>
      <c r="B8" s="11">
        <v>24</v>
      </c>
      <c r="C8" s="16">
        <v>16643</v>
      </c>
      <c r="D8" s="16">
        <f t="shared" si="1"/>
        <v>16667</v>
      </c>
      <c r="E8" s="14">
        <v>33</v>
      </c>
      <c r="F8" s="14">
        <f t="shared" si="2"/>
        <v>727.27272727272725</v>
      </c>
      <c r="H8" s="11">
        <v>7</v>
      </c>
      <c r="I8" s="16">
        <v>1623</v>
      </c>
      <c r="J8" s="16">
        <f t="shared" ref="J8:J12" si="5">+H8+I8</f>
        <v>1630</v>
      </c>
      <c r="K8" s="11">
        <v>33</v>
      </c>
      <c r="L8" s="11">
        <f t="shared" si="3"/>
        <v>70.833333333333343</v>
      </c>
      <c r="M8" s="11">
        <f t="shared" si="3"/>
        <v>90.248152376374449</v>
      </c>
      <c r="N8" s="11">
        <f t="shared" si="3"/>
        <v>90.220195596088075</v>
      </c>
      <c r="O8" s="14">
        <f t="shared" si="4"/>
        <v>212.12121212121212</v>
      </c>
    </row>
    <row r="9" spans="1:16" x14ac:dyDescent="0.25">
      <c r="A9" s="17" t="s">
        <v>118</v>
      </c>
      <c r="B9" s="11">
        <v>70</v>
      </c>
      <c r="C9" s="16">
        <v>2002</v>
      </c>
      <c r="D9" s="16">
        <f t="shared" si="1"/>
        <v>2072</v>
      </c>
      <c r="E9" s="14">
        <v>33</v>
      </c>
      <c r="F9" s="14">
        <f t="shared" si="2"/>
        <v>2121.2121212121215</v>
      </c>
      <c r="H9" s="11">
        <v>10</v>
      </c>
      <c r="I9" s="16">
        <v>1855</v>
      </c>
      <c r="J9" s="16">
        <f t="shared" si="5"/>
        <v>1865</v>
      </c>
      <c r="K9" s="11">
        <v>33</v>
      </c>
      <c r="L9" s="11">
        <f t="shared" si="3"/>
        <v>85.714285714285708</v>
      </c>
      <c r="M9" s="11">
        <f t="shared" si="3"/>
        <v>7.3426573426573425</v>
      </c>
      <c r="N9" s="11">
        <f t="shared" si="3"/>
        <v>9.9903474903474905</v>
      </c>
      <c r="O9" s="14">
        <f t="shared" si="4"/>
        <v>303.03030303030306</v>
      </c>
    </row>
    <row r="10" spans="1:16" x14ac:dyDescent="0.25">
      <c r="A10" s="17" t="s">
        <v>119</v>
      </c>
      <c r="B10" s="11">
        <v>11</v>
      </c>
      <c r="C10" s="16">
        <v>2276</v>
      </c>
      <c r="D10" s="16">
        <f t="shared" si="1"/>
        <v>2287</v>
      </c>
      <c r="E10" s="14">
        <v>33</v>
      </c>
      <c r="F10" s="14">
        <f t="shared" si="2"/>
        <v>333.33333333333337</v>
      </c>
      <c r="H10" s="11">
        <v>5</v>
      </c>
      <c r="I10" s="16">
        <v>1249</v>
      </c>
      <c r="J10" s="16">
        <f t="shared" si="5"/>
        <v>1254</v>
      </c>
      <c r="K10" s="11">
        <v>33</v>
      </c>
      <c r="L10" s="11">
        <f t="shared" si="3"/>
        <v>54.54545454545454</v>
      </c>
      <c r="M10" s="11">
        <f t="shared" si="3"/>
        <v>45.123022847100174</v>
      </c>
      <c r="N10" s="11">
        <f t="shared" si="3"/>
        <v>45.168342807170966</v>
      </c>
      <c r="O10" s="14">
        <f t="shared" si="4"/>
        <v>151.51515151515153</v>
      </c>
    </row>
    <row r="11" spans="1:16" x14ac:dyDescent="0.25">
      <c r="A11" s="17" t="s">
        <v>116</v>
      </c>
      <c r="B11" s="16">
        <v>68</v>
      </c>
      <c r="C11" s="16">
        <v>1751</v>
      </c>
      <c r="D11" s="16">
        <f t="shared" si="1"/>
        <v>1819</v>
      </c>
      <c r="E11" s="14">
        <v>33</v>
      </c>
      <c r="F11" s="14">
        <f t="shared" si="2"/>
        <v>2060.6060606060605</v>
      </c>
      <c r="H11" s="16">
        <v>38</v>
      </c>
      <c r="I11" s="16">
        <v>1751</v>
      </c>
      <c r="J11" s="16">
        <f t="shared" si="5"/>
        <v>1789</v>
      </c>
      <c r="K11" s="11">
        <v>33</v>
      </c>
      <c r="L11" s="11">
        <f t="shared" si="3"/>
        <v>44.117647058823529</v>
      </c>
      <c r="M11" s="11">
        <f t="shared" si="3"/>
        <v>0</v>
      </c>
      <c r="N11" s="11">
        <f t="shared" si="3"/>
        <v>1.6492578339747113</v>
      </c>
      <c r="O11" s="14">
        <f>(1000/K11)*H11</f>
        <v>1151.5151515151515</v>
      </c>
    </row>
    <row r="12" spans="1:16" x14ac:dyDescent="0.25">
      <c r="A12" s="17" t="s">
        <v>117</v>
      </c>
      <c r="B12" s="11">
        <v>4</v>
      </c>
      <c r="C12" s="16">
        <v>1935</v>
      </c>
      <c r="D12" s="16">
        <f t="shared" si="1"/>
        <v>1939</v>
      </c>
      <c r="E12" s="14">
        <v>33</v>
      </c>
      <c r="F12" s="14">
        <f t="shared" si="2"/>
        <v>121.21212121212122</v>
      </c>
      <c r="H12" s="11">
        <v>2</v>
      </c>
      <c r="I12" s="16">
        <v>1594</v>
      </c>
      <c r="J12" s="16">
        <f t="shared" si="5"/>
        <v>1596</v>
      </c>
      <c r="K12" s="11">
        <v>33</v>
      </c>
      <c r="L12" s="11">
        <f t="shared" si="3"/>
        <v>50</v>
      </c>
      <c r="M12" s="11">
        <f t="shared" si="3"/>
        <v>17.622739018087856</v>
      </c>
      <c r="N12" s="11">
        <f t="shared" si="3"/>
        <v>17.689530685920577</v>
      </c>
      <c r="O12" s="14">
        <f t="shared" si="4"/>
        <v>60.606060606060609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1744.1077441077443</v>
      </c>
      <c r="G14" s="11">
        <f>_xlfn.STDEV.S(F4:F12)</f>
        <v>1111.6619387634423</v>
      </c>
      <c r="L14" s="11">
        <f>AVERAGE(L4:L12)</f>
        <v>47.721442619489686</v>
      </c>
      <c r="M14" s="11">
        <f>AVERAGE(M4:M12)</f>
        <v>19.284279746149533</v>
      </c>
      <c r="N14" s="11">
        <f>AVERAGE(N4:N12)</f>
        <v>20.339347458862584</v>
      </c>
      <c r="O14" s="14">
        <f>AVERAGE(O4:O12)</f>
        <v>1010.10101010101</v>
      </c>
      <c r="P14" s="11">
        <f>_xlfn.STDEV.S(O4:O12)</f>
        <v>1004.6951303091155</v>
      </c>
    </row>
    <row r="19" spans="1:7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7" x14ac:dyDescent="0.25">
      <c r="A20" s="11" t="s">
        <v>262</v>
      </c>
      <c r="B20" s="11">
        <v>41378</v>
      </c>
      <c r="C20" s="16">
        <v>9401</v>
      </c>
      <c r="D20" s="16">
        <f>+B20+C20</f>
        <v>50779</v>
      </c>
      <c r="E20" s="14">
        <v>33</v>
      </c>
      <c r="F20" s="14">
        <f>(1000/E20)*B20</f>
        <v>1253878.7878787878</v>
      </c>
      <c r="G20" s="14">
        <f>(1000/E20)*C20</f>
        <v>284878.7878787879</v>
      </c>
    </row>
    <row r="21" spans="1:7" x14ac:dyDescent="0.25">
      <c r="A21" s="11" t="s">
        <v>258</v>
      </c>
      <c r="B21" s="11">
        <v>23</v>
      </c>
      <c r="C21" s="11">
        <v>5276</v>
      </c>
      <c r="D21" s="16">
        <f>+B21+C21</f>
        <v>5299</v>
      </c>
      <c r="E21" s="14">
        <v>34</v>
      </c>
      <c r="F21" s="14">
        <f>(1000/E21)*B21</f>
        <v>676.47058823529403</v>
      </c>
    </row>
    <row r="22" spans="1:7" x14ac:dyDescent="0.25">
      <c r="D22" s="16"/>
      <c r="E22" s="14"/>
      <c r="F22" s="14"/>
    </row>
    <row r="23" spans="1:7" x14ac:dyDescent="0.25">
      <c r="D23" s="16"/>
      <c r="E23" s="14"/>
      <c r="F23" s="14"/>
    </row>
    <row r="28" spans="1:7" x14ac:dyDescent="0.25">
      <c r="E28" s="16"/>
      <c r="F28" s="16"/>
    </row>
    <row r="29" spans="1:7" x14ac:dyDescent="0.25">
      <c r="E29" s="16"/>
      <c r="F29" s="16"/>
    </row>
    <row r="30" spans="1:7" x14ac:dyDescent="0.25">
      <c r="E30" s="16"/>
      <c r="F30" s="16"/>
    </row>
    <row r="31" spans="1:7" x14ac:dyDescent="0.25">
      <c r="E31" s="16"/>
      <c r="F31" s="16"/>
    </row>
    <row r="32" spans="1:7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D19" sqref="D19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168</v>
      </c>
      <c r="C4" s="16">
        <v>16924</v>
      </c>
      <c r="D4" s="16">
        <f>+B4+C4</f>
        <v>17092</v>
      </c>
      <c r="E4" s="14">
        <v>33</v>
      </c>
      <c r="F4" s="14">
        <f>(1000/E4)*B4</f>
        <v>5090.909090909091</v>
      </c>
      <c r="H4" s="11">
        <v>158</v>
      </c>
      <c r="I4" s="16">
        <v>11878</v>
      </c>
      <c r="J4" s="16">
        <f t="shared" ref="J4:J5" si="0">+H4+I4</f>
        <v>12036</v>
      </c>
      <c r="K4" s="11">
        <v>33</v>
      </c>
      <c r="L4" s="11">
        <f>+(B4-H4)/B4*100</f>
        <v>5.9523809523809517</v>
      </c>
      <c r="M4" s="11">
        <f>+(C4-I4)/C4*100</f>
        <v>29.815646419286217</v>
      </c>
      <c r="N4" s="11">
        <f>+(D4-J4)/D4*100</f>
        <v>29.581090568687106</v>
      </c>
      <c r="O4" s="14">
        <f>(1000/K4)*H4</f>
        <v>4787.878787878788</v>
      </c>
    </row>
    <row r="5" spans="1:16" x14ac:dyDescent="0.25">
      <c r="A5" s="17" t="s">
        <v>113</v>
      </c>
      <c r="B5" s="11">
        <v>52</v>
      </c>
      <c r="C5" s="16">
        <v>6249</v>
      </c>
      <c r="D5" s="16">
        <f t="shared" ref="D5:D12" si="1">+B5+C5</f>
        <v>6301</v>
      </c>
      <c r="E5" s="14">
        <v>33</v>
      </c>
      <c r="F5" s="14">
        <f t="shared" ref="F5:F12" si="2">(1000/E5)*B5</f>
        <v>1575.7575757575758</v>
      </c>
      <c r="H5" s="11">
        <v>28</v>
      </c>
      <c r="I5" s="16">
        <v>8080</v>
      </c>
      <c r="J5" s="16">
        <f t="shared" si="0"/>
        <v>8108</v>
      </c>
      <c r="K5" s="11">
        <v>33</v>
      </c>
      <c r="L5" s="11">
        <f>+(B5-H5)/B5*100</f>
        <v>46.153846153846153</v>
      </c>
      <c r="M5" s="11">
        <f t="shared" ref="L5:N12" si="3">+(C5-I5)/C5*100</f>
        <v>-29.300688110097617</v>
      </c>
      <c r="N5" s="11">
        <f>+(D5-J5)/D5*100</f>
        <v>-28.677987621012534</v>
      </c>
      <c r="O5" s="14">
        <f t="shared" ref="O5:O12" si="4">(1000/K5)*H5</f>
        <v>848.4848484848485</v>
      </c>
    </row>
    <row r="6" spans="1:16" x14ac:dyDescent="0.25">
      <c r="A6" s="17" t="s">
        <v>115</v>
      </c>
      <c r="B6" s="11">
        <v>231</v>
      </c>
      <c r="C6" s="11">
        <v>6724</v>
      </c>
      <c r="D6" s="16">
        <f>+B6+C6</f>
        <v>6955</v>
      </c>
      <c r="E6" s="14">
        <v>33</v>
      </c>
      <c r="F6" s="14">
        <f t="shared" si="2"/>
        <v>7000</v>
      </c>
      <c r="H6" s="11">
        <v>143</v>
      </c>
      <c r="I6" s="16">
        <v>3359</v>
      </c>
      <c r="J6" s="16">
        <f>+H6+I6</f>
        <v>3502</v>
      </c>
      <c r="K6" s="11">
        <v>33</v>
      </c>
      <c r="L6" s="11">
        <f t="shared" si="3"/>
        <v>38.095238095238095</v>
      </c>
      <c r="M6" s="11">
        <f>+(C6-I6)/C6*100</f>
        <v>50.044616299821534</v>
      </c>
      <c r="N6" s="11">
        <f>+(D6-J6)/D6*100</f>
        <v>49.647735442127967</v>
      </c>
      <c r="O6" s="14">
        <f t="shared" si="4"/>
        <v>4333.3333333333339</v>
      </c>
    </row>
    <row r="7" spans="1:16" x14ac:dyDescent="0.25">
      <c r="A7" s="17" t="s">
        <v>114</v>
      </c>
      <c r="B7" s="11">
        <v>106</v>
      </c>
      <c r="C7" s="11">
        <v>3578</v>
      </c>
      <c r="D7" s="16">
        <f t="shared" si="1"/>
        <v>3684</v>
      </c>
      <c r="E7" s="14">
        <v>33</v>
      </c>
      <c r="F7" s="14">
        <f t="shared" si="2"/>
        <v>3212.1212121212125</v>
      </c>
      <c r="H7" s="11">
        <v>95</v>
      </c>
      <c r="I7" s="16">
        <v>30343</v>
      </c>
      <c r="J7" s="16">
        <f>+H7+I7</f>
        <v>30438</v>
      </c>
      <c r="K7" s="11">
        <v>33</v>
      </c>
      <c r="L7" s="11">
        <f t="shared" si="3"/>
        <v>10.377358490566039</v>
      </c>
      <c r="M7" s="11">
        <f t="shared" si="3"/>
        <v>-748.04359977641138</v>
      </c>
      <c r="N7" s="11">
        <f t="shared" si="3"/>
        <v>-726.22149837133554</v>
      </c>
      <c r="O7" s="14">
        <f t="shared" si="4"/>
        <v>2878.787878787879</v>
      </c>
    </row>
    <row r="8" spans="1:16" x14ac:dyDescent="0.25">
      <c r="A8" s="17" t="s">
        <v>112</v>
      </c>
      <c r="B8" s="11">
        <v>76</v>
      </c>
      <c r="C8" s="16">
        <v>6360</v>
      </c>
      <c r="D8" s="16">
        <f t="shared" si="1"/>
        <v>6436</v>
      </c>
      <c r="E8" s="14">
        <v>33</v>
      </c>
      <c r="F8" s="14">
        <f t="shared" si="2"/>
        <v>2303.030303030303</v>
      </c>
      <c r="H8" s="11">
        <v>46</v>
      </c>
      <c r="I8" s="16">
        <v>1977</v>
      </c>
      <c r="J8" s="16">
        <f t="shared" ref="J8:J12" si="5">+H8+I8</f>
        <v>2023</v>
      </c>
      <c r="K8" s="11">
        <v>33</v>
      </c>
      <c r="L8" s="11">
        <f t="shared" si="3"/>
        <v>39.473684210526315</v>
      </c>
      <c r="M8" s="11">
        <f t="shared" si="3"/>
        <v>68.915094339622641</v>
      </c>
      <c r="N8" s="11">
        <f t="shared" si="3"/>
        <v>68.567433188315732</v>
      </c>
      <c r="O8" s="14">
        <f t="shared" si="4"/>
        <v>1393.939393939394</v>
      </c>
    </row>
    <row r="9" spans="1:16" x14ac:dyDescent="0.25">
      <c r="A9" s="17" t="s">
        <v>118</v>
      </c>
      <c r="B9" s="11">
        <v>180</v>
      </c>
      <c r="C9" s="16">
        <v>6313</v>
      </c>
      <c r="D9" s="16">
        <f t="shared" si="1"/>
        <v>6493</v>
      </c>
      <c r="E9" s="14">
        <v>33</v>
      </c>
      <c r="F9" s="14">
        <f t="shared" si="2"/>
        <v>5454.545454545455</v>
      </c>
      <c r="H9" s="11">
        <v>83</v>
      </c>
      <c r="I9" s="16">
        <v>3694</v>
      </c>
      <c r="J9" s="16">
        <f t="shared" si="5"/>
        <v>3777</v>
      </c>
      <c r="K9" s="11">
        <v>33</v>
      </c>
      <c r="L9" s="11">
        <f t="shared" si="3"/>
        <v>53.888888888888886</v>
      </c>
      <c r="M9" s="11">
        <f t="shared" si="3"/>
        <v>41.485822905116429</v>
      </c>
      <c r="N9" s="11">
        <f t="shared" si="3"/>
        <v>41.829662713691668</v>
      </c>
      <c r="O9" s="14">
        <f t="shared" si="4"/>
        <v>2515.1515151515155</v>
      </c>
    </row>
    <row r="10" spans="1:16" x14ac:dyDescent="0.25">
      <c r="A10" s="17" t="s">
        <v>119</v>
      </c>
      <c r="B10" s="11">
        <v>397</v>
      </c>
      <c r="C10" s="16">
        <v>5654</v>
      </c>
      <c r="D10" s="16">
        <f t="shared" si="1"/>
        <v>6051</v>
      </c>
      <c r="E10" s="14">
        <v>33</v>
      </c>
      <c r="F10" s="14">
        <f t="shared" si="2"/>
        <v>12030.30303030303</v>
      </c>
      <c r="H10" s="11">
        <v>87</v>
      </c>
      <c r="I10" s="16">
        <v>2485</v>
      </c>
      <c r="J10" s="16">
        <f t="shared" si="5"/>
        <v>2572</v>
      </c>
      <c r="K10" s="11">
        <v>33</v>
      </c>
      <c r="L10" s="11">
        <f t="shared" si="3"/>
        <v>78.085642317380348</v>
      </c>
      <c r="M10" s="11">
        <f t="shared" si="3"/>
        <v>56.048814998231343</v>
      </c>
      <c r="N10" s="11">
        <f t="shared" si="3"/>
        <v>57.494628986944306</v>
      </c>
      <c r="O10" s="14">
        <f t="shared" si="4"/>
        <v>2636.3636363636365</v>
      </c>
    </row>
    <row r="11" spans="1:16" x14ac:dyDescent="0.25">
      <c r="A11" s="17" t="s">
        <v>116</v>
      </c>
      <c r="B11" s="16">
        <v>175</v>
      </c>
      <c r="C11" s="16">
        <v>4938</v>
      </c>
      <c r="D11" s="16">
        <f t="shared" si="1"/>
        <v>5113</v>
      </c>
      <c r="E11" s="14">
        <v>33</v>
      </c>
      <c r="F11" s="14">
        <f t="shared" si="2"/>
        <v>5303.030303030303</v>
      </c>
      <c r="H11" s="16">
        <v>83</v>
      </c>
      <c r="I11" s="16">
        <v>7481</v>
      </c>
      <c r="J11" s="16">
        <f t="shared" si="5"/>
        <v>7564</v>
      </c>
      <c r="K11" s="11">
        <v>33</v>
      </c>
      <c r="L11" s="11">
        <f t="shared" si="3"/>
        <v>52.571428571428569</v>
      </c>
      <c r="M11" s="11">
        <f t="shared" si="3"/>
        <v>-51.498582422033209</v>
      </c>
      <c r="N11" s="11">
        <f t="shared" si="3"/>
        <v>-47.936632114218661</v>
      </c>
      <c r="O11" s="14">
        <f>(1000/K11)*H11</f>
        <v>2515.1515151515155</v>
      </c>
    </row>
    <row r="12" spans="1:16" x14ac:dyDescent="0.25">
      <c r="A12" s="17" t="s">
        <v>117</v>
      </c>
      <c r="B12" s="11">
        <v>350</v>
      </c>
      <c r="C12" s="16">
        <v>4207</v>
      </c>
      <c r="D12" s="16">
        <f t="shared" si="1"/>
        <v>4557</v>
      </c>
      <c r="E12" s="14">
        <v>33</v>
      </c>
      <c r="F12" s="14">
        <f t="shared" si="2"/>
        <v>10606.060606060606</v>
      </c>
      <c r="H12" s="11">
        <v>73</v>
      </c>
      <c r="I12" s="16">
        <v>3372</v>
      </c>
      <c r="J12" s="16">
        <f t="shared" si="5"/>
        <v>3445</v>
      </c>
      <c r="K12" s="11">
        <v>33</v>
      </c>
      <c r="L12" s="11">
        <f t="shared" si="3"/>
        <v>79.142857142857153</v>
      </c>
      <c r="M12" s="11">
        <f t="shared" si="3"/>
        <v>19.847872593296888</v>
      </c>
      <c r="N12" s="11">
        <f t="shared" si="3"/>
        <v>24.402018872064954</v>
      </c>
      <c r="O12" s="14">
        <f t="shared" si="4"/>
        <v>2212.121212121212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5841.7508417508425</v>
      </c>
      <c r="G14" s="11">
        <f>_xlfn.STDEV.S(F4:F12)</f>
        <v>3552.7888971998486</v>
      </c>
      <c r="L14" s="11">
        <f>AVERAGE(L4:L12)</f>
        <v>44.860147202568058</v>
      </c>
      <c r="M14" s="11">
        <f>AVERAGE(M4:M12)</f>
        <v>-62.520555861463016</v>
      </c>
      <c r="N14" s="11">
        <f>AVERAGE(N4:N12)</f>
        <v>-59.034838703859464</v>
      </c>
      <c r="O14" s="14">
        <f>AVERAGE(O4:O12)</f>
        <v>2680.1346801346799</v>
      </c>
      <c r="P14" s="11">
        <f>_xlfn.STDEV.S(O4:O12)</f>
        <v>1249.9872461343025</v>
      </c>
    </row>
    <row r="19" spans="1:7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7" x14ac:dyDescent="0.25">
      <c r="A20" s="11" t="s">
        <v>263</v>
      </c>
      <c r="B20" s="11">
        <v>40039</v>
      </c>
      <c r="C20" s="16">
        <v>19297</v>
      </c>
      <c r="D20" s="16">
        <f>+B20+C20</f>
        <v>59336</v>
      </c>
      <c r="E20" s="14">
        <v>33</v>
      </c>
      <c r="F20" s="14">
        <f>(1000/E20)*B20</f>
        <v>1213303.0303030303</v>
      </c>
      <c r="G20" s="14">
        <f>(1000/E20)*C20</f>
        <v>584757.5757575758</v>
      </c>
    </row>
    <row r="21" spans="1:7" x14ac:dyDescent="0.25">
      <c r="A21" s="11" t="s">
        <v>258</v>
      </c>
      <c r="D21" s="16"/>
      <c r="E21" s="14"/>
      <c r="F21" s="14"/>
    </row>
    <row r="22" spans="1:7" x14ac:dyDescent="0.25">
      <c r="D22" s="16"/>
      <c r="E22" s="14"/>
      <c r="F22" s="14"/>
    </row>
    <row r="23" spans="1:7" x14ac:dyDescent="0.25">
      <c r="D23" s="16"/>
      <c r="E23" s="14"/>
      <c r="F23" s="14"/>
    </row>
    <row r="28" spans="1:7" x14ac:dyDescent="0.25">
      <c r="E28" s="16"/>
      <c r="F28" s="16"/>
    </row>
    <row r="29" spans="1:7" x14ac:dyDescent="0.25">
      <c r="E29" s="16"/>
      <c r="F29" s="16"/>
    </row>
    <row r="30" spans="1:7" x14ac:dyDescent="0.25">
      <c r="E30" s="16"/>
      <c r="F30" s="16"/>
    </row>
    <row r="31" spans="1:7" x14ac:dyDescent="0.25">
      <c r="E31" s="16"/>
      <c r="F31" s="16"/>
    </row>
    <row r="32" spans="1:7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D17" sqref="D17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1165</v>
      </c>
      <c r="C4" s="16">
        <v>26875</v>
      </c>
      <c r="D4" s="16">
        <f>+B4+C4</f>
        <v>28040</v>
      </c>
      <c r="E4" s="14">
        <v>33</v>
      </c>
      <c r="F4" s="14">
        <f>(1000/E4)*B4</f>
        <v>35303.030303030304</v>
      </c>
      <c r="H4" s="11">
        <v>277</v>
      </c>
      <c r="I4" s="16">
        <v>8432</v>
      </c>
      <c r="J4" s="16">
        <f t="shared" ref="J4:J5" si="0">+H4+I4</f>
        <v>8709</v>
      </c>
      <c r="K4" s="11">
        <v>33</v>
      </c>
      <c r="L4" s="11">
        <f>+(B4-H4)/B4*100</f>
        <v>76.223175965665234</v>
      </c>
      <c r="M4" s="11">
        <f>+(C4-I4)/C4*100</f>
        <v>68.625116279069758</v>
      </c>
      <c r="N4" s="11">
        <f>+(D4-J4)/D4*100</f>
        <v>68.940798858773178</v>
      </c>
      <c r="O4" s="14">
        <f>(1000/K4)*H4</f>
        <v>8393.939393939394</v>
      </c>
    </row>
    <row r="5" spans="1:16" x14ac:dyDescent="0.25">
      <c r="A5" s="17" t="s">
        <v>113</v>
      </c>
      <c r="B5" s="11">
        <v>708</v>
      </c>
      <c r="C5" s="16">
        <v>7855</v>
      </c>
      <c r="D5" s="16">
        <f t="shared" ref="D5:D12" si="1">+B5+C5</f>
        <v>8563</v>
      </c>
      <c r="E5" s="14">
        <v>33</v>
      </c>
      <c r="F5" s="14">
        <f t="shared" ref="F5:F12" si="2">(1000/E5)*B5</f>
        <v>21454.545454545456</v>
      </c>
      <c r="H5" s="11">
        <v>214</v>
      </c>
      <c r="I5" s="16">
        <v>7945</v>
      </c>
      <c r="J5" s="16">
        <f t="shared" si="0"/>
        <v>8159</v>
      </c>
      <c r="K5" s="11">
        <v>33</v>
      </c>
      <c r="L5" s="11">
        <f>+(B5-H5)/B5*100</f>
        <v>69.774011299435017</v>
      </c>
      <c r="M5" s="11">
        <f t="shared" ref="L5:N12" si="3">+(C5-I5)/C5*100</f>
        <v>-1.1457670273711011</v>
      </c>
      <c r="N5" s="11">
        <f>+(D5-J5)/D5*100</f>
        <v>4.7179726731285765</v>
      </c>
      <c r="O5" s="14">
        <f t="shared" ref="O5:O12" si="4">(1000/K5)*H5</f>
        <v>6484.848484848485</v>
      </c>
    </row>
    <row r="6" spans="1:16" x14ac:dyDescent="0.25">
      <c r="A6" s="17" t="s">
        <v>115</v>
      </c>
      <c r="B6" s="11">
        <v>672</v>
      </c>
      <c r="C6" s="11">
        <v>9888</v>
      </c>
      <c r="D6" s="16">
        <f>+B6+C6</f>
        <v>10560</v>
      </c>
      <c r="E6" s="14">
        <v>33</v>
      </c>
      <c r="F6" s="14">
        <f t="shared" si="2"/>
        <v>20363.636363636364</v>
      </c>
      <c r="H6" s="11">
        <v>252</v>
      </c>
      <c r="I6" s="16">
        <v>8364</v>
      </c>
      <c r="J6" s="16">
        <f>+H6+I6</f>
        <v>8616</v>
      </c>
      <c r="K6" s="11">
        <v>33</v>
      </c>
      <c r="L6" s="11">
        <f t="shared" si="3"/>
        <v>62.5</v>
      </c>
      <c r="M6" s="11">
        <f>+(C6-I6)/C6*100</f>
        <v>15.4126213592233</v>
      </c>
      <c r="N6" s="11">
        <f>+(D6-J6)/D6*100</f>
        <v>18.409090909090907</v>
      </c>
      <c r="O6" s="14">
        <f t="shared" si="4"/>
        <v>7636.3636363636369</v>
      </c>
    </row>
    <row r="7" spans="1:16" x14ac:dyDescent="0.25">
      <c r="A7" s="17" t="s">
        <v>114</v>
      </c>
      <c r="B7" s="11">
        <v>512</v>
      </c>
      <c r="C7" s="11">
        <v>5990</v>
      </c>
      <c r="D7" s="16">
        <f t="shared" si="1"/>
        <v>6502</v>
      </c>
      <c r="E7" s="14">
        <v>33</v>
      </c>
      <c r="F7" s="14">
        <f t="shared" si="2"/>
        <v>15515.151515151516</v>
      </c>
      <c r="H7" s="11">
        <v>189</v>
      </c>
      <c r="I7" s="16">
        <v>9071</v>
      </c>
      <c r="J7" s="16">
        <f>+H7+I7</f>
        <v>9260</v>
      </c>
      <c r="K7" s="11">
        <v>33</v>
      </c>
      <c r="L7" s="11">
        <f t="shared" si="3"/>
        <v>63.0859375</v>
      </c>
      <c r="M7" s="11">
        <f t="shared" si="3"/>
        <v>-51.435726210350587</v>
      </c>
      <c r="N7" s="11">
        <f t="shared" si="3"/>
        <v>-42.417717625346043</v>
      </c>
      <c r="O7" s="14">
        <f t="shared" si="4"/>
        <v>5727.2727272727279</v>
      </c>
    </row>
    <row r="8" spans="1:16" x14ac:dyDescent="0.25">
      <c r="A8" s="17" t="s">
        <v>112</v>
      </c>
      <c r="B8" s="11">
        <v>267</v>
      </c>
      <c r="C8" s="16">
        <v>4630</v>
      </c>
      <c r="D8" s="16">
        <f t="shared" si="1"/>
        <v>4897</v>
      </c>
      <c r="E8" s="14">
        <v>33</v>
      </c>
      <c r="F8" s="14">
        <f t="shared" si="2"/>
        <v>8090.909090909091</v>
      </c>
      <c r="H8" s="11">
        <v>313</v>
      </c>
      <c r="I8" s="16">
        <v>5382</v>
      </c>
      <c r="J8" s="16">
        <f t="shared" ref="J8:J12" si="5">+H8+I8</f>
        <v>5695</v>
      </c>
      <c r="K8" s="11">
        <v>33</v>
      </c>
      <c r="L8" s="11">
        <f t="shared" si="3"/>
        <v>-17.228464419475657</v>
      </c>
      <c r="M8" s="11">
        <f t="shared" si="3"/>
        <v>-16.241900647948164</v>
      </c>
      <c r="N8" s="11">
        <f t="shared" si="3"/>
        <v>-16.29569123953441</v>
      </c>
      <c r="O8" s="14">
        <f t="shared" si="4"/>
        <v>9484.8484848484859</v>
      </c>
    </row>
    <row r="9" spans="1:16" x14ac:dyDescent="0.25">
      <c r="A9" s="17" t="s">
        <v>118</v>
      </c>
      <c r="B9" s="11">
        <v>167</v>
      </c>
      <c r="C9" s="16">
        <v>5810</v>
      </c>
      <c r="D9" s="16">
        <f t="shared" si="1"/>
        <v>5977</v>
      </c>
      <c r="E9" s="14">
        <v>33</v>
      </c>
      <c r="F9" s="14">
        <f t="shared" si="2"/>
        <v>5060.606060606061</v>
      </c>
      <c r="H9" s="11">
        <v>172</v>
      </c>
      <c r="I9" s="16">
        <v>4942</v>
      </c>
      <c r="J9" s="16">
        <f t="shared" si="5"/>
        <v>5114</v>
      </c>
      <c r="K9" s="11">
        <v>33</v>
      </c>
      <c r="L9" s="11">
        <f t="shared" si="3"/>
        <v>-2.9940119760479043</v>
      </c>
      <c r="M9" s="11">
        <f t="shared" si="3"/>
        <v>14.939759036144579</v>
      </c>
      <c r="N9" s="11">
        <f t="shared" si="3"/>
        <v>14.438681612849255</v>
      </c>
      <c r="O9" s="14">
        <f t="shared" si="4"/>
        <v>5212.121212121212</v>
      </c>
    </row>
    <row r="10" spans="1:16" x14ac:dyDescent="0.25">
      <c r="A10" s="17" t="s">
        <v>119</v>
      </c>
      <c r="B10" s="11">
        <v>260</v>
      </c>
      <c r="C10" s="16">
        <v>3890</v>
      </c>
      <c r="D10" s="16">
        <f t="shared" si="1"/>
        <v>4150</v>
      </c>
      <c r="E10" s="14">
        <v>33</v>
      </c>
      <c r="F10" s="14">
        <f t="shared" si="2"/>
        <v>7878.787878787879</v>
      </c>
      <c r="H10" s="11">
        <v>193</v>
      </c>
      <c r="I10" s="16">
        <v>4997</v>
      </c>
      <c r="J10" s="16">
        <f t="shared" si="5"/>
        <v>5190</v>
      </c>
      <c r="K10" s="11">
        <v>33</v>
      </c>
      <c r="L10" s="11">
        <f t="shared" si="3"/>
        <v>25.769230769230766</v>
      </c>
      <c r="M10" s="11">
        <f t="shared" si="3"/>
        <v>-28.457583547557842</v>
      </c>
      <c r="N10" s="11">
        <f t="shared" si="3"/>
        <v>-25.060240963855424</v>
      </c>
      <c r="O10" s="14">
        <f t="shared" si="4"/>
        <v>5848.484848484849</v>
      </c>
    </row>
    <row r="11" spans="1:16" x14ac:dyDescent="0.25">
      <c r="A11" s="17" t="s">
        <v>116</v>
      </c>
      <c r="B11" s="16">
        <v>230</v>
      </c>
      <c r="C11" s="16">
        <v>7463</v>
      </c>
      <c r="D11" s="16">
        <f t="shared" si="1"/>
        <v>7693</v>
      </c>
      <c r="E11" s="14">
        <v>33</v>
      </c>
      <c r="F11" s="14">
        <f t="shared" si="2"/>
        <v>6969.69696969697</v>
      </c>
      <c r="H11" s="16">
        <v>150</v>
      </c>
      <c r="I11" s="16">
        <v>6854</v>
      </c>
      <c r="J11" s="16">
        <f t="shared" si="5"/>
        <v>7004</v>
      </c>
      <c r="K11" s="11">
        <v>33</v>
      </c>
      <c r="L11" s="11">
        <f t="shared" si="3"/>
        <v>34.782608695652172</v>
      </c>
      <c r="M11" s="11">
        <f t="shared" si="3"/>
        <v>8.1602572691946946</v>
      </c>
      <c r="N11" s="11">
        <f t="shared" si="3"/>
        <v>8.9561939425451715</v>
      </c>
      <c r="O11" s="14">
        <f>(1000/K11)*H11</f>
        <v>4545.454545454546</v>
      </c>
    </row>
    <row r="12" spans="1:16" x14ac:dyDescent="0.25">
      <c r="A12" s="17" t="s">
        <v>117</v>
      </c>
      <c r="B12" s="11">
        <v>148</v>
      </c>
      <c r="C12" s="16">
        <v>3533</v>
      </c>
      <c r="D12" s="16">
        <f t="shared" si="1"/>
        <v>3681</v>
      </c>
      <c r="E12" s="14">
        <v>33</v>
      </c>
      <c r="F12" s="14">
        <f t="shared" si="2"/>
        <v>4484.848484848485</v>
      </c>
      <c r="H12" s="11">
        <v>267</v>
      </c>
      <c r="I12" s="16">
        <v>5406</v>
      </c>
      <c r="J12" s="16">
        <f t="shared" si="5"/>
        <v>5673</v>
      </c>
      <c r="K12" s="11">
        <v>33</v>
      </c>
      <c r="L12" s="11">
        <f t="shared" si="3"/>
        <v>-80.405405405405403</v>
      </c>
      <c r="M12" s="11">
        <f t="shared" si="3"/>
        <v>-53.014435324087181</v>
      </c>
      <c r="N12" s="11">
        <f t="shared" si="3"/>
        <v>-54.115729421352896</v>
      </c>
      <c r="O12" s="14">
        <f t="shared" si="4"/>
        <v>8090.909090909091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13902.356902356903</v>
      </c>
      <c r="G14" s="11">
        <f>_xlfn.STDEV.S(F4:F12)</f>
        <v>10273.49574512093</v>
      </c>
      <c r="L14" s="11">
        <f>AVERAGE(L4:L12)</f>
        <v>25.7230091587838</v>
      </c>
      <c r="M14" s="11">
        <f>AVERAGE(M4:M12)</f>
        <v>-4.7952954237425063</v>
      </c>
      <c r="N14" s="11">
        <f>AVERAGE(N4:N12)</f>
        <v>-2.4918490281890766</v>
      </c>
      <c r="O14" s="14">
        <f>AVERAGE(O4:O12)</f>
        <v>6824.9158249158245</v>
      </c>
      <c r="P14" s="11">
        <f>_xlfn.STDEV.S(O4:O12)</f>
        <v>1653.3752228665578</v>
      </c>
    </row>
    <row r="19" spans="1:7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7" x14ac:dyDescent="0.25">
      <c r="A20" s="11" t="s">
        <v>263</v>
      </c>
      <c r="B20" s="11">
        <v>59326</v>
      </c>
      <c r="C20" s="16">
        <v>23977</v>
      </c>
      <c r="D20" s="16">
        <f>+B20+C20</f>
        <v>83303</v>
      </c>
      <c r="E20" s="14">
        <v>33</v>
      </c>
      <c r="F20" s="14">
        <f>(1000/E20)*B20</f>
        <v>1797757.5757575759</v>
      </c>
      <c r="G20" s="14">
        <f>(1000/E20)*C20</f>
        <v>726575.75757575757</v>
      </c>
    </row>
    <row r="21" spans="1:7" x14ac:dyDescent="0.25">
      <c r="D21" s="16"/>
      <c r="E21" s="14"/>
      <c r="F21" s="14"/>
    </row>
    <row r="22" spans="1:7" x14ac:dyDescent="0.25">
      <c r="D22" s="16"/>
      <c r="E22" s="14"/>
      <c r="F22" s="14"/>
    </row>
    <row r="23" spans="1:7" x14ac:dyDescent="0.25">
      <c r="D23" s="16"/>
      <c r="E23" s="14"/>
      <c r="F23" s="14"/>
    </row>
    <row r="28" spans="1:7" x14ac:dyDescent="0.25">
      <c r="E28" s="16"/>
      <c r="F28" s="16"/>
    </row>
    <row r="29" spans="1:7" x14ac:dyDescent="0.25">
      <c r="E29" s="16"/>
      <c r="F29" s="16"/>
    </row>
    <row r="30" spans="1:7" x14ac:dyDescent="0.25">
      <c r="E30" s="16"/>
      <c r="F30" s="16"/>
    </row>
    <row r="31" spans="1:7" x14ac:dyDescent="0.25">
      <c r="E31" s="16"/>
      <c r="F31" s="16"/>
    </row>
    <row r="32" spans="1:7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E13" sqref="E13"/>
    </sheetView>
  </sheetViews>
  <sheetFormatPr defaultRowHeight="15" x14ac:dyDescent="0.25"/>
  <cols>
    <col min="1" max="1" width="18.85546875" style="11" customWidth="1"/>
    <col min="2" max="3" width="14" style="11" customWidth="1"/>
    <col min="4" max="4" width="15.7109375" style="11" customWidth="1"/>
    <col min="5" max="5" width="9.140625" style="11"/>
    <col min="6" max="6" width="10.5703125" style="11" bestFit="1" customWidth="1"/>
    <col min="7" max="7" width="9.5703125" style="11" customWidth="1"/>
    <col min="8" max="11" width="9.140625" style="11"/>
    <col min="12" max="13" width="15.7109375" style="11" customWidth="1"/>
    <col min="14" max="16384" width="9.140625" style="11"/>
  </cols>
  <sheetData>
    <row r="1" spans="1:16" x14ac:dyDescent="0.25">
      <c r="A1" s="17"/>
      <c r="B1" s="11" t="s">
        <v>4</v>
      </c>
      <c r="E1" s="14"/>
      <c r="F1" s="14"/>
      <c r="H1" s="11" t="s">
        <v>4</v>
      </c>
      <c r="N1" s="15"/>
    </row>
    <row r="2" spans="1:16" x14ac:dyDescent="0.25">
      <c r="A2" s="17"/>
      <c r="B2" s="11" t="s">
        <v>5</v>
      </c>
      <c r="E2" s="14"/>
      <c r="F2" s="14"/>
      <c r="H2" s="11" t="s">
        <v>5</v>
      </c>
      <c r="N2" s="11" t="s">
        <v>226</v>
      </c>
    </row>
    <row r="3" spans="1:16" x14ac:dyDescent="0.25">
      <c r="A3" s="17" t="s">
        <v>106</v>
      </c>
      <c r="B3" s="11" t="s">
        <v>220</v>
      </c>
      <c r="C3" s="11" t="s">
        <v>221</v>
      </c>
      <c r="D3" s="11" t="s">
        <v>222</v>
      </c>
      <c r="E3" s="14" t="s">
        <v>1</v>
      </c>
      <c r="F3" s="14" t="s">
        <v>233</v>
      </c>
      <c r="H3" s="11" t="s">
        <v>220</v>
      </c>
      <c r="I3" s="11" t="s">
        <v>221</v>
      </c>
      <c r="J3" s="11" t="s">
        <v>222</v>
      </c>
      <c r="K3" s="14" t="s">
        <v>1</v>
      </c>
      <c r="L3" s="11" t="s">
        <v>224</v>
      </c>
      <c r="M3" s="11" t="s">
        <v>225</v>
      </c>
      <c r="N3" s="18" t="s">
        <v>253</v>
      </c>
      <c r="O3" s="14" t="s">
        <v>233</v>
      </c>
    </row>
    <row r="4" spans="1:16" x14ac:dyDescent="0.25">
      <c r="A4" s="17" t="s">
        <v>120</v>
      </c>
      <c r="B4" s="11">
        <v>265</v>
      </c>
      <c r="C4" s="16">
        <v>11451</v>
      </c>
      <c r="D4" s="16">
        <f>+B4+C4</f>
        <v>11716</v>
      </c>
      <c r="E4" s="14">
        <v>33</v>
      </c>
      <c r="F4" s="14">
        <f>(1000/E4)*B4</f>
        <v>8030.3030303030309</v>
      </c>
      <c r="H4" s="11">
        <v>360</v>
      </c>
      <c r="I4" s="16">
        <v>5496</v>
      </c>
      <c r="J4" s="16">
        <f t="shared" ref="J4:J5" si="0">+H4+I4</f>
        <v>5856</v>
      </c>
      <c r="K4" s="11">
        <v>33</v>
      </c>
      <c r="L4" s="11">
        <f>+(B4-H4)/B4*100</f>
        <v>-35.849056603773583</v>
      </c>
      <c r="M4" s="11">
        <f>+(C4-I4)/C4*100</f>
        <v>52.004191773644223</v>
      </c>
      <c r="N4" s="11">
        <f>+(D4-J4)/D4*100</f>
        <v>50.017070672584495</v>
      </c>
      <c r="O4" s="14">
        <f>(1000/K4)*H4</f>
        <v>10909.09090909091</v>
      </c>
    </row>
    <row r="5" spans="1:16" x14ac:dyDescent="0.25">
      <c r="A5" s="17" t="s">
        <v>113</v>
      </c>
      <c r="B5" s="11">
        <v>419</v>
      </c>
      <c r="C5" s="16">
        <v>8682</v>
      </c>
      <c r="D5" s="16">
        <f t="shared" ref="D5:D12" si="1">+B5+C5</f>
        <v>9101</v>
      </c>
      <c r="E5" s="14">
        <v>33</v>
      </c>
      <c r="F5" s="14">
        <f t="shared" ref="F5:F12" si="2">(1000/E5)*B5</f>
        <v>12696.969696969698</v>
      </c>
      <c r="H5" s="11">
        <v>166</v>
      </c>
      <c r="I5" s="16">
        <v>5532</v>
      </c>
      <c r="J5" s="16">
        <f t="shared" si="0"/>
        <v>5698</v>
      </c>
      <c r="K5" s="11">
        <v>33</v>
      </c>
      <c r="L5" s="11">
        <f>+(B5-H5)/B5*100</f>
        <v>60.381861575178995</v>
      </c>
      <c r="M5" s="11">
        <f t="shared" ref="L5:N12" si="3">+(C5-I5)/C5*100</f>
        <v>36.281962681409816</v>
      </c>
      <c r="N5" s="11">
        <f>+(D5-J5)/D5*100</f>
        <v>37.391495440061533</v>
      </c>
      <c r="O5" s="14">
        <f t="shared" ref="O5:O12" si="4">(1000/K5)*H5</f>
        <v>5030.3030303030309</v>
      </c>
    </row>
    <row r="6" spans="1:16" x14ac:dyDescent="0.25">
      <c r="A6" s="17" t="s">
        <v>115</v>
      </c>
      <c r="B6" s="11">
        <v>335</v>
      </c>
      <c r="C6" s="11">
        <v>7991</v>
      </c>
      <c r="D6" s="16">
        <f>+B6+C6</f>
        <v>8326</v>
      </c>
      <c r="E6" s="14">
        <v>33</v>
      </c>
      <c r="F6" s="14">
        <f t="shared" si="2"/>
        <v>10151.515151515152</v>
      </c>
      <c r="H6" s="11">
        <v>186</v>
      </c>
      <c r="I6" s="16">
        <v>5045</v>
      </c>
      <c r="J6" s="16">
        <f>+H6+I6</f>
        <v>5231</v>
      </c>
      <c r="K6" s="11">
        <v>33</v>
      </c>
      <c r="L6" s="11">
        <f t="shared" si="3"/>
        <v>44.477611940298509</v>
      </c>
      <c r="M6" s="11">
        <f>+(C6-I6)/C6*100</f>
        <v>36.866474784132144</v>
      </c>
      <c r="N6" s="11">
        <f>+(D6-J6)/D6*100</f>
        <v>37.172711986548165</v>
      </c>
      <c r="O6" s="14">
        <f t="shared" si="4"/>
        <v>5636.3636363636369</v>
      </c>
    </row>
    <row r="7" spans="1:16" x14ac:dyDescent="0.25">
      <c r="A7" s="17" t="s">
        <v>114</v>
      </c>
      <c r="B7" s="11">
        <v>157</v>
      </c>
      <c r="C7" s="11">
        <v>6316</v>
      </c>
      <c r="D7" s="16">
        <f t="shared" si="1"/>
        <v>6473</v>
      </c>
      <c r="E7" s="14">
        <v>33</v>
      </c>
      <c r="F7" s="14">
        <f t="shared" si="2"/>
        <v>4757.575757575758</v>
      </c>
      <c r="H7" s="11">
        <v>107</v>
      </c>
      <c r="I7" s="16">
        <v>5085</v>
      </c>
      <c r="J7" s="16">
        <f>+H7+I7</f>
        <v>5192</v>
      </c>
      <c r="K7" s="11">
        <v>33</v>
      </c>
      <c r="L7" s="11">
        <f t="shared" si="3"/>
        <v>31.847133757961782</v>
      </c>
      <c r="M7" s="11">
        <f t="shared" si="3"/>
        <v>19.490183660544648</v>
      </c>
      <c r="N7" s="11">
        <f t="shared" si="3"/>
        <v>19.789896493125291</v>
      </c>
      <c r="O7" s="14">
        <f t="shared" si="4"/>
        <v>3242.4242424242425</v>
      </c>
    </row>
    <row r="8" spans="1:16" x14ac:dyDescent="0.25">
      <c r="A8" s="17" t="s">
        <v>112</v>
      </c>
      <c r="B8" s="11">
        <v>770</v>
      </c>
      <c r="C8" s="16">
        <v>5166</v>
      </c>
      <c r="D8" s="16">
        <f t="shared" si="1"/>
        <v>5936</v>
      </c>
      <c r="E8" s="14">
        <v>33</v>
      </c>
      <c r="F8" s="14">
        <f t="shared" si="2"/>
        <v>23333.333333333336</v>
      </c>
      <c r="H8" s="11">
        <v>212</v>
      </c>
      <c r="I8" s="16">
        <v>7601</v>
      </c>
      <c r="J8" s="16">
        <f t="shared" ref="J8:J12" si="5">+H8+I8</f>
        <v>7813</v>
      </c>
      <c r="K8" s="11">
        <v>33</v>
      </c>
      <c r="L8" s="11">
        <f t="shared" si="3"/>
        <v>72.467532467532465</v>
      </c>
      <c r="M8" s="11">
        <f t="shared" si="3"/>
        <v>-47.135114208284939</v>
      </c>
      <c r="N8" s="11">
        <f t="shared" si="3"/>
        <v>-31.620619946091644</v>
      </c>
      <c r="O8" s="14">
        <f t="shared" si="4"/>
        <v>6424.2424242424249</v>
      </c>
    </row>
    <row r="9" spans="1:16" x14ac:dyDescent="0.25">
      <c r="A9" s="17" t="s">
        <v>118</v>
      </c>
      <c r="B9" s="11">
        <v>160</v>
      </c>
      <c r="C9" s="16">
        <v>6967</v>
      </c>
      <c r="D9" s="16">
        <f t="shared" si="1"/>
        <v>7127</v>
      </c>
      <c r="E9" s="14">
        <v>33</v>
      </c>
      <c r="F9" s="14">
        <f t="shared" si="2"/>
        <v>4848.484848484849</v>
      </c>
      <c r="H9" s="11">
        <v>77</v>
      </c>
      <c r="I9" s="16">
        <v>3275</v>
      </c>
      <c r="J9" s="16">
        <f t="shared" si="5"/>
        <v>3352</v>
      </c>
      <c r="K9" s="11">
        <v>33</v>
      </c>
      <c r="L9" s="11">
        <f t="shared" si="3"/>
        <v>51.875000000000007</v>
      </c>
      <c r="M9" s="11">
        <f t="shared" si="3"/>
        <v>52.992679776087272</v>
      </c>
      <c r="N9" s="11">
        <f t="shared" si="3"/>
        <v>52.967588045460921</v>
      </c>
      <c r="O9" s="14">
        <f t="shared" si="4"/>
        <v>2333.3333333333335</v>
      </c>
    </row>
    <row r="10" spans="1:16" x14ac:dyDescent="0.25">
      <c r="A10" s="17" t="s">
        <v>119</v>
      </c>
      <c r="B10" s="11">
        <v>255</v>
      </c>
      <c r="C10" s="16">
        <v>5772</v>
      </c>
      <c r="D10" s="16">
        <f t="shared" si="1"/>
        <v>6027</v>
      </c>
      <c r="E10" s="14">
        <v>33</v>
      </c>
      <c r="F10" s="14">
        <f t="shared" si="2"/>
        <v>7727.2727272727279</v>
      </c>
      <c r="H10" s="11">
        <v>93</v>
      </c>
      <c r="I10" s="16">
        <v>5141</v>
      </c>
      <c r="J10" s="16">
        <f t="shared" si="5"/>
        <v>5234</v>
      </c>
      <c r="K10" s="11">
        <v>33</v>
      </c>
      <c r="L10" s="11">
        <f t="shared" si="3"/>
        <v>63.529411764705877</v>
      </c>
      <c r="M10" s="11">
        <f t="shared" si="3"/>
        <v>10.932085932085931</v>
      </c>
      <c r="N10" s="11">
        <f t="shared" si="3"/>
        <v>13.157458105193298</v>
      </c>
      <c r="O10" s="14">
        <f t="shared" si="4"/>
        <v>2818.1818181818185</v>
      </c>
    </row>
    <row r="11" spans="1:16" x14ac:dyDescent="0.25">
      <c r="A11" s="17" t="s">
        <v>116</v>
      </c>
      <c r="B11" s="16">
        <v>205</v>
      </c>
      <c r="C11" s="16">
        <v>11961</v>
      </c>
      <c r="D11" s="16">
        <f t="shared" si="1"/>
        <v>12166</v>
      </c>
      <c r="E11" s="14">
        <v>33</v>
      </c>
      <c r="F11" s="14">
        <f t="shared" si="2"/>
        <v>6212.121212121212</v>
      </c>
      <c r="H11" s="16">
        <v>115</v>
      </c>
      <c r="I11" s="16">
        <v>3540</v>
      </c>
      <c r="J11" s="16">
        <f t="shared" si="5"/>
        <v>3655</v>
      </c>
      <c r="K11" s="11">
        <v>33</v>
      </c>
      <c r="L11" s="11">
        <f t="shared" si="3"/>
        <v>43.902439024390247</v>
      </c>
      <c r="M11" s="11">
        <f t="shared" si="3"/>
        <v>70.403812390268371</v>
      </c>
      <c r="N11" s="11">
        <f t="shared" si="3"/>
        <v>69.95725793194147</v>
      </c>
      <c r="O11" s="14">
        <f>(1000/K11)*H11</f>
        <v>3484.848484848485</v>
      </c>
    </row>
    <row r="12" spans="1:16" x14ac:dyDescent="0.25">
      <c r="A12" s="17" t="s">
        <v>117</v>
      </c>
      <c r="B12" s="11">
        <v>113</v>
      </c>
      <c r="C12" s="16">
        <v>12788</v>
      </c>
      <c r="D12" s="16">
        <f t="shared" si="1"/>
        <v>12901</v>
      </c>
      <c r="E12" s="14">
        <v>33</v>
      </c>
      <c r="F12" s="14">
        <f t="shared" si="2"/>
        <v>3424.2424242424245</v>
      </c>
      <c r="H12" s="11">
        <v>115</v>
      </c>
      <c r="I12" s="16">
        <v>7944</v>
      </c>
      <c r="J12" s="16">
        <f t="shared" si="5"/>
        <v>8059</v>
      </c>
      <c r="K12" s="11">
        <v>33</v>
      </c>
      <c r="L12" s="11">
        <f t="shared" si="3"/>
        <v>-1.7699115044247788</v>
      </c>
      <c r="M12" s="11">
        <f t="shared" si="3"/>
        <v>37.87926180794495</v>
      </c>
      <c r="N12" s="11">
        <f t="shared" si="3"/>
        <v>37.531974265560805</v>
      </c>
      <c r="O12" s="14">
        <f t="shared" si="4"/>
        <v>3484.848484848485</v>
      </c>
    </row>
    <row r="13" spans="1:16" x14ac:dyDescent="0.25">
      <c r="F13" s="11" t="s">
        <v>234</v>
      </c>
      <c r="G13" s="11" t="s">
        <v>235</v>
      </c>
      <c r="O13" s="11" t="s">
        <v>234</v>
      </c>
      <c r="P13" s="11" t="s">
        <v>235</v>
      </c>
    </row>
    <row r="14" spans="1:16" x14ac:dyDescent="0.25">
      <c r="F14" s="14">
        <f>AVERAGE(F4:F12)</f>
        <v>9020.202020202023</v>
      </c>
      <c r="G14" s="11">
        <f>_xlfn.STDEV.S(F4:F12)</f>
        <v>6093.9424076661726</v>
      </c>
      <c r="L14" s="11">
        <f>AVERAGE(L4:L12)</f>
        <v>36.762446935763279</v>
      </c>
      <c r="M14" s="11">
        <f>AVERAGE(M4:M12)</f>
        <v>29.968393177536939</v>
      </c>
      <c r="N14" s="11">
        <f>AVERAGE(N4:N12)</f>
        <v>31.818314777153812</v>
      </c>
      <c r="O14" s="14">
        <f>AVERAGE(O4:O12)</f>
        <v>4818.1818181818189</v>
      </c>
      <c r="P14" s="11">
        <f>_xlfn.STDEV.S(O4:O12)</f>
        <v>2660.029619338397</v>
      </c>
    </row>
    <row r="19" spans="1:7" x14ac:dyDescent="0.25">
      <c r="B19" s="11" t="s">
        <v>220</v>
      </c>
      <c r="C19" s="11" t="s">
        <v>221</v>
      </c>
      <c r="D19" s="11" t="s">
        <v>222</v>
      </c>
      <c r="E19" s="14" t="s">
        <v>1</v>
      </c>
      <c r="F19" s="14" t="s">
        <v>233</v>
      </c>
    </row>
    <row r="20" spans="1:7" x14ac:dyDescent="0.25">
      <c r="A20" s="11" t="s">
        <v>263</v>
      </c>
      <c r="B20" s="11">
        <v>89619</v>
      </c>
      <c r="C20" s="16">
        <v>63058</v>
      </c>
      <c r="D20" s="16">
        <f>+B20+C20</f>
        <v>152677</v>
      </c>
      <c r="E20" s="14">
        <v>33</v>
      </c>
      <c r="F20" s="14">
        <f>(1000/E20)*B20</f>
        <v>2715727.2727272729</v>
      </c>
      <c r="G20" s="14">
        <f>(1000/E20)*C20</f>
        <v>1910848.4848484849</v>
      </c>
    </row>
    <row r="21" spans="1:7" x14ac:dyDescent="0.25">
      <c r="D21" s="16"/>
      <c r="E21" s="14"/>
      <c r="F21" s="14"/>
    </row>
    <row r="22" spans="1:7" x14ac:dyDescent="0.25">
      <c r="D22" s="16"/>
      <c r="E22" s="14"/>
      <c r="F22" s="14"/>
    </row>
    <row r="23" spans="1:7" x14ac:dyDescent="0.25">
      <c r="D23" s="16"/>
      <c r="E23" s="14"/>
      <c r="F23" s="14"/>
    </row>
    <row r="28" spans="1:7" x14ac:dyDescent="0.25">
      <c r="E28" s="16"/>
      <c r="F28" s="16"/>
    </row>
    <row r="29" spans="1:7" x14ac:dyDescent="0.25">
      <c r="E29" s="16"/>
      <c r="F29" s="16"/>
    </row>
    <row r="30" spans="1:7" x14ac:dyDescent="0.25">
      <c r="E30" s="16"/>
      <c r="F30" s="16"/>
    </row>
    <row r="31" spans="1:7" x14ac:dyDescent="0.25">
      <c r="E31" s="16"/>
      <c r="F31" s="16"/>
    </row>
    <row r="32" spans="1:7" x14ac:dyDescent="0.25">
      <c r="E32" s="16"/>
      <c r="F32" s="16"/>
    </row>
    <row r="33" spans="4:6" x14ac:dyDescent="0.25">
      <c r="E33" s="16"/>
      <c r="F33" s="16"/>
    </row>
    <row r="34" spans="4:6" x14ac:dyDescent="0.25">
      <c r="E34" s="16"/>
      <c r="F34" s="16"/>
    </row>
    <row r="35" spans="4:6" x14ac:dyDescent="0.25">
      <c r="D35" s="16"/>
      <c r="E35" s="16"/>
      <c r="F35" s="16"/>
    </row>
    <row r="36" spans="4:6" x14ac:dyDescent="0.25">
      <c r="E36" s="16"/>
      <c r="F36" s="16"/>
    </row>
    <row r="37" spans="4:6" x14ac:dyDescent="0.25">
      <c r="D37" s="16"/>
      <c r="E37" s="16"/>
      <c r="F37" s="16"/>
    </row>
    <row r="38" spans="4:6" x14ac:dyDescent="0.25">
      <c r="E38" s="16"/>
      <c r="F38" s="16"/>
    </row>
    <row r="39" spans="4:6" x14ac:dyDescent="0.25">
      <c r="E39" s="16"/>
      <c r="F39" s="16"/>
    </row>
    <row r="40" spans="4:6" x14ac:dyDescent="0.25">
      <c r="E40" s="16"/>
      <c r="F40" s="16"/>
    </row>
    <row r="41" spans="4:6" x14ac:dyDescent="0.25">
      <c r="E41" s="16"/>
      <c r="F41" s="16"/>
    </row>
    <row r="42" spans="4:6" x14ac:dyDescent="0.25">
      <c r="E42" s="16"/>
      <c r="F42" s="16"/>
    </row>
    <row r="43" spans="4:6" x14ac:dyDescent="0.25">
      <c r="E43" s="16"/>
      <c r="F43" s="16"/>
    </row>
    <row r="44" spans="4:6" x14ac:dyDescent="0.25">
      <c r="E44" s="16"/>
      <c r="F44" s="16"/>
    </row>
    <row r="45" spans="4:6" x14ac:dyDescent="0.25">
      <c r="E45" s="16"/>
      <c r="F45" s="16"/>
    </row>
    <row r="46" spans="4:6" x14ac:dyDescent="0.25">
      <c r="E46" s="16"/>
      <c r="F46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18" sqref="I18"/>
    </sheetView>
  </sheetViews>
  <sheetFormatPr defaultRowHeight="15" x14ac:dyDescent="0.25"/>
  <cols>
    <col min="1" max="1" width="9.7109375" bestFit="1" customWidth="1"/>
    <col min="3" max="3" width="10" bestFit="1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/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44411</v>
      </c>
      <c r="B4">
        <v>1</v>
      </c>
      <c r="C4" s="1">
        <v>1828</v>
      </c>
      <c r="D4">
        <v>33</v>
      </c>
      <c r="E4">
        <f>+C4/33*1000</f>
        <v>55393.939393939392</v>
      </c>
      <c r="G4" s="2">
        <v>44412</v>
      </c>
      <c r="H4">
        <v>1</v>
      </c>
      <c r="I4">
        <v>1123</v>
      </c>
      <c r="J4">
        <v>33</v>
      </c>
      <c r="K4">
        <f t="shared" ref="K4:K18" si="0">+I4/J4*1000</f>
        <v>34030.303030303032</v>
      </c>
      <c r="L4">
        <f>+E4-K4</f>
        <v>21363.63636363636</v>
      </c>
      <c r="M4">
        <f>+L4/17.92</f>
        <v>1192.1672077922076</v>
      </c>
      <c r="N4">
        <f>AVERAGE(M4:M8)</f>
        <v>1169.8457792207789</v>
      </c>
    </row>
    <row r="5" spans="1:14" x14ac:dyDescent="0.25">
      <c r="A5" s="2">
        <v>44411</v>
      </c>
      <c r="B5">
        <v>2</v>
      </c>
      <c r="C5">
        <v>1913</v>
      </c>
      <c r="D5">
        <v>33</v>
      </c>
      <c r="E5">
        <f t="shared" ref="E5:E18" si="1">+C5/33*1000</f>
        <v>57969.696969696968</v>
      </c>
      <c r="G5" s="2">
        <v>44412</v>
      </c>
      <c r="H5">
        <v>2</v>
      </c>
      <c r="I5">
        <v>1282</v>
      </c>
      <c r="J5">
        <v>33</v>
      </c>
      <c r="K5">
        <f t="shared" si="0"/>
        <v>38848.484848484848</v>
      </c>
      <c r="L5">
        <f>+E5-K5</f>
        <v>19121.21212121212</v>
      </c>
      <c r="M5">
        <f t="shared" ref="M5:M18" si="2">+L5/17.92</f>
        <v>1067.0319264069262</v>
      </c>
    </row>
    <row r="6" spans="1:14" x14ac:dyDescent="0.25">
      <c r="A6" s="2">
        <v>44411</v>
      </c>
      <c r="B6">
        <v>3</v>
      </c>
      <c r="C6">
        <v>1978</v>
      </c>
      <c r="D6">
        <v>33</v>
      </c>
      <c r="E6">
        <f t="shared" si="1"/>
        <v>59939.393939393936</v>
      </c>
      <c r="G6" s="2">
        <v>44412</v>
      </c>
      <c r="H6">
        <v>3</v>
      </c>
      <c r="I6">
        <v>1297</v>
      </c>
      <c r="J6">
        <v>33</v>
      </c>
      <c r="K6">
        <f t="shared" si="0"/>
        <v>39303.030303030304</v>
      </c>
      <c r="L6">
        <f t="shared" ref="L6:L18" si="3">+E6-K6</f>
        <v>20636.363636363632</v>
      </c>
      <c r="M6">
        <f t="shared" si="2"/>
        <v>1151.582792207792</v>
      </c>
    </row>
    <row r="7" spans="1:14" x14ac:dyDescent="0.25">
      <c r="A7" s="2">
        <v>44411</v>
      </c>
      <c r="B7">
        <v>4</v>
      </c>
      <c r="C7">
        <v>1815</v>
      </c>
      <c r="D7">
        <v>33</v>
      </c>
      <c r="E7">
        <f t="shared" si="1"/>
        <v>55000</v>
      </c>
      <c r="G7" s="2">
        <v>44412</v>
      </c>
      <c r="H7">
        <v>4</v>
      </c>
      <c r="I7">
        <v>1173</v>
      </c>
      <c r="J7">
        <v>33</v>
      </c>
      <c r="K7">
        <f t="shared" si="0"/>
        <v>35545.454545454544</v>
      </c>
      <c r="L7">
        <f t="shared" si="3"/>
        <v>19454.545454545456</v>
      </c>
      <c r="M7">
        <f t="shared" si="2"/>
        <v>1085.6331168831168</v>
      </c>
    </row>
    <row r="8" spans="1:14" x14ac:dyDescent="0.25">
      <c r="A8" s="2">
        <v>44411</v>
      </c>
      <c r="B8">
        <v>5</v>
      </c>
      <c r="C8">
        <v>1832</v>
      </c>
      <c r="D8">
        <v>33</v>
      </c>
      <c r="E8">
        <f t="shared" si="1"/>
        <v>55515.151515151512</v>
      </c>
      <c r="G8" s="2">
        <v>44412</v>
      </c>
      <c r="H8">
        <v>5</v>
      </c>
      <c r="I8">
        <v>1032</v>
      </c>
      <c r="J8">
        <v>33</v>
      </c>
      <c r="K8">
        <f t="shared" si="0"/>
        <v>31272.727272727272</v>
      </c>
      <c r="L8">
        <f t="shared" si="3"/>
        <v>24242.42424242424</v>
      </c>
      <c r="M8">
        <f t="shared" si="2"/>
        <v>1352.8138528138525</v>
      </c>
    </row>
    <row r="9" spans="1:14" x14ac:dyDescent="0.25">
      <c r="A9" s="2">
        <v>44411</v>
      </c>
      <c r="B9">
        <v>6</v>
      </c>
      <c r="C9">
        <v>1798</v>
      </c>
      <c r="D9">
        <v>33</v>
      </c>
      <c r="E9">
        <f t="shared" si="1"/>
        <v>54484.848484848488</v>
      </c>
      <c r="G9" s="2">
        <v>44412</v>
      </c>
      <c r="H9">
        <v>6</v>
      </c>
      <c r="I9">
        <v>1038</v>
      </c>
      <c r="J9">
        <v>33</v>
      </c>
      <c r="K9">
        <f t="shared" si="0"/>
        <v>31454.545454545452</v>
      </c>
      <c r="L9">
        <f t="shared" si="3"/>
        <v>23030.303030303035</v>
      </c>
      <c r="M9">
        <f t="shared" si="2"/>
        <v>1285.1731601731603</v>
      </c>
      <c r="N9">
        <f>AVERAGE(M9:M13)</f>
        <v>1160.7142857142858</v>
      </c>
    </row>
    <row r="10" spans="1:14" x14ac:dyDescent="0.25">
      <c r="A10" s="2">
        <v>44411</v>
      </c>
      <c r="B10">
        <v>7</v>
      </c>
      <c r="C10">
        <v>1838</v>
      </c>
      <c r="D10">
        <v>33</v>
      </c>
      <c r="E10">
        <f t="shared" si="1"/>
        <v>55696.969696969696</v>
      </c>
      <c r="G10" s="2">
        <v>44412</v>
      </c>
      <c r="H10">
        <v>7</v>
      </c>
      <c r="I10">
        <v>1197</v>
      </c>
      <c r="J10">
        <v>33</v>
      </c>
      <c r="K10">
        <f t="shared" si="0"/>
        <v>36272.727272727272</v>
      </c>
      <c r="L10">
        <f t="shared" si="3"/>
        <v>19424.242424242424</v>
      </c>
      <c r="M10">
        <f t="shared" si="2"/>
        <v>1083.9420995670994</v>
      </c>
    </row>
    <row r="11" spans="1:14" x14ac:dyDescent="0.25">
      <c r="A11" s="2">
        <v>44411</v>
      </c>
      <c r="B11">
        <v>8</v>
      </c>
      <c r="C11">
        <v>1834</v>
      </c>
      <c r="D11">
        <v>33</v>
      </c>
      <c r="E11">
        <f t="shared" si="1"/>
        <v>55575.757575757576</v>
      </c>
      <c r="G11" s="2">
        <v>44412</v>
      </c>
      <c r="H11">
        <v>8</v>
      </c>
      <c r="I11">
        <v>1163</v>
      </c>
      <c r="J11">
        <v>33</v>
      </c>
      <c r="K11">
        <f t="shared" si="0"/>
        <v>35242.42424242424</v>
      </c>
      <c r="L11">
        <f t="shared" si="3"/>
        <v>20333.333333333336</v>
      </c>
      <c r="M11">
        <f t="shared" si="2"/>
        <v>1134.672619047619</v>
      </c>
    </row>
    <row r="12" spans="1:14" x14ac:dyDescent="0.25">
      <c r="A12" s="2">
        <v>44411</v>
      </c>
      <c r="B12">
        <v>9</v>
      </c>
      <c r="C12">
        <v>1797</v>
      </c>
      <c r="D12">
        <v>33</v>
      </c>
      <c r="E12">
        <f t="shared" si="1"/>
        <v>54454.545454545456</v>
      </c>
      <c r="G12" s="2">
        <v>44412</v>
      </c>
      <c r="H12">
        <v>9</v>
      </c>
      <c r="I12">
        <v>1081</v>
      </c>
      <c r="J12">
        <v>33</v>
      </c>
      <c r="K12">
        <f t="shared" si="0"/>
        <v>32757.575757575756</v>
      </c>
      <c r="L12">
        <f t="shared" si="3"/>
        <v>21696.9696969697</v>
      </c>
      <c r="M12">
        <f t="shared" si="2"/>
        <v>1210.7683982683984</v>
      </c>
    </row>
    <row r="13" spans="1:14" x14ac:dyDescent="0.25">
      <c r="A13" s="2">
        <v>44411</v>
      </c>
      <c r="B13">
        <v>10</v>
      </c>
      <c r="C13">
        <v>1838</v>
      </c>
      <c r="D13">
        <v>33</v>
      </c>
      <c r="E13">
        <f t="shared" si="1"/>
        <v>55696.969696969696</v>
      </c>
      <c r="G13" s="2">
        <v>44412</v>
      </c>
      <c r="H13">
        <v>10</v>
      </c>
      <c r="I13">
        <v>1194</v>
      </c>
      <c r="J13">
        <v>33</v>
      </c>
      <c r="K13">
        <f t="shared" si="0"/>
        <v>36181.818181818177</v>
      </c>
      <c r="L13">
        <f t="shared" si="3"/>
        <v>19515.15151515152</v>
      </c>
      <c r="M13">
        <f t="shared" si="2"/>
        <v>1089.0151515151517</v>
      </c>
    </row>
    <row r="14" spans="1:14" x14ac:dyDescent="0.25">
      <c r="A14" s="2">
        <v>44411</v>
      </c>
      <c r="B14">
        <v>11</v>
      </c>
      <c r="C14">
        <v>1921</v>
      </c>
      <c r="D14">
        <v>33</v>
      </c>
      <c r="E14">
        <f t="shared" si="1"/>
        <v>58212.121212121208</v>
      </c>
      <c r="G14" s="2">
        <v>44412</v>
      </c>
      <c r="H14">
        <v>11</v>
      </c>
      <c r="I14">
        <v>1524</v>
      </c>
      <c r="J14">
        <v>33</v>
      </c>
      <c r="K14">
        <f>+I14/J14*1000</f>
        <v>46181.818181818177</v>
      </c>
      <c r="L14">
        <f t="shared" si="3"/>
        <v>12030.303030303032</v>
      </c>
      <c r="M14">
        <f t="shared" si="2"/>
        <v>671.33387445887445</v>
      </c>
      <c r="N14">
        <f>AVERAGE(M14:M18)</f>
        <v>543.49296536796521</v>
      </c>
    </row>
    <row r="15" spans="1:14" x14ac:dyDescent="0.25">
      <c r="A15" s="2">
        <v>44411</v>
      </c>
      <c r="B15">
        <v>12</v>
      </c>
      <c r="C15">
        <v>1788</v>
      </c>
      <c r="D15">
        <v>33</v>
      </c>
      <c r="E15">
        <f t="shared" si="1"/>
        <v>54181.818181818177</v>
      </c>
      <c r="G15" s="2">
        <v>44412</v>
      </c>
      <c r="H15">
        <v>12</v>
      </c>
      <c r="I15">
        <v>1474</v>
      </c>
      <c r="J15">
        <v>33</v>
      </c>
      <c r="K15">
        <f t="shared" si="0"/>
        <v>44666.666666666664</v>
      </c>
      <c r="L15">
        <f t="shared" si="3"/>
        <v>9515.1515151515123</v>
      </c>
      <c r="M15">
        <f t="shared" si="2"/>
        <v>530.97943722943705</v>
      </c>
    </row>
    <row r="16" spans="1:14" x14ac:dyDescent="0.25">
      <c r="A16" s="2">
        <v>44411</v>
      </c>
      <c r="B16">
        <v>13</v>
      </c>
      <c r="C16">
        <v>1778</v>
      </c>
      <c r="D16">
        <v>33</v>
      </c>
      <c r="E16">
        <f t="shared" si="1"/>
        <v>53878.787878787873</v>
      </c>
      <c r="G16" s="2">
        <v>44412</v>
      </c>
      <c r="H16">
        <v>13</v>
      </c>
      <c r="I16">
        <v>1494</v>
      </c>
      <c r="J16">
        <v>33</v>
      </c>
      <c r="K16">
        <f t="shared" si="0"/>
        <v>45272.727272727272</v>
      </c>
      <c r="L16">
        <f t="shared" si="3"/>
        <v>8606.0606060606005</v>
      </c>
      <c r="M16">
        <f t="shared" si="2"/>
        <v>480.24891774891739</v>
      </c>
    </row>
    <row r="17" spans="1:13" x14ac:dyDescent="0.25">
      <c r="A17" s="2">
        <v>44411</v>
      </c>
      <c r="B17">
        <v>14</v>
      </c>
      <c r="C17">
        <v>1847</v>
      </c>
      <c r="D17">
        <v>33</v>
      </c>
      <c r="E17">
        <f t="shared" si="1"/>
        <v>55969.696969696968</v>
      </c>
      <c r="G17" s="2">
        <v>44412</v>
      </c>
      <c r="H17">
        <v>14</v>
      </c>
      <c r="I17">
        <v>1588</v>
      </c>
      <c r="J17">
        <v>33</v>
      </c>
      <c r="K17">
        <f t="shared" si="0"/>
        <v>48121.212121212127</v>
      </c>
      <c r="L17">
        <f t="shared" si="3"/>
        <v>7848.4848484848408</v>
      </c>
      <c r="M17">
        <f t="shared" si="2"/>
        <v>437.97348484848436</v>
      </c>
    </row>
    <row r="18" spans="1:13" x14ac:dyDescent="0.25">
      <c r="A18" s="2">
        <v>44411</v>
      </c>
      <c r="B18">
        <v>15</v>
      </c>
      <c r="C18">
        <v>1859</v>
      </c>
      <c r="D18">
        <v>33</v>
      </c>
      <c r="E18">
        <f t="shared" si="1"/>
        <v>56333.333333333336</v>
      </c>
      <c r="G18" s="2">
        <v>44412</v>
      </c>
      <c r="H18">
        <v>15</v>
      </c>
      <c r="I18">
        <v>1506</v>
      </c>
      <c r="J18">
        <v>33</v>
      </c>
      <c r="K18">
        <f t="shared" si="0"/>
        <v>45636.363636363632</v>
      </c>
      <c r="L18">
        <f t="shared" si="3"/>
        <v>10696.969696969703</v>
      </c>
      <c r="M18">
        <f t="shared" si="2"/>
        <v>596.92911255411286</v>
      </c>
    </row>
    <row r="20" spans="1:13" x14ac:dyDescent="0.25">
      <c r="A20" t="s">
        <v>24</v>
      </c>
      <c r="B20" s="7"/>
    </row>
    <row r="21" spans="1:13" x14ac:dyDescent="0.25">
      <c r="A21" s="6" t="s">
        <v>25</v>
      </c>
      <c r="B21" s="7"/>
    </row>
    <row r="27" spans="1:13" x14ac:dyDescent="0.25">
      <c r="C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27" sqref="C27"/>
    </sheetView>
  </sheetViews>
  <sheetFormatPr defaultRowHeight="15" x14ac:dyDescent="0.25"/>
  <cols>
    <col min="1" max="1" width="9.7109375" bestFit="1" customWidth="1"/>
    <col min="3" max="3" width="10" bestFit="1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/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44412</v>
      </c>
      <c r="B4">
        <v>1</v>
      </c>
      <c r="C4" s="1">
        <v>1474</v>
      </c>
      <c r="D4">
        <v>33</v>
      </c>
      <c r="E4">
        <f>+C4/33*1000</f>
        <v>44666.666666666664</v>
      </c>
      <c r="G4" s="2">
        <v>44413</v>
      </c>
      <c r="H4">
        <v>1</v>
      </c>
      <c r="I4">
        <v>872</v>
      </c>
      <c r="J4">
        <v>33</v>
      </c>
      <c r="K4">
        <f t="shared" ref="K4:K18" si="0">+I4/J4*1000</f>
        <v>26424.242424242424</v>
      </c>
      <c r="L4">
        <f>+E4-K4</f>
        <v>18242.42424242424</v>
      </c>
      <c r="M4">
        <f>+L4/21.5</f>
        <v>848.48484848484838</v>
      </c>
      <c r="N4">
        <f>AVERAGE(M4:M8)</f>
        <v>1052.0084566596195</v>
      </c>
    </row>
    <row r="5" spans="1:14" x14ac:dyDescent="0.25">
      <c r="A5" s="2">
        <v>44412</v>
      </c>
      <c r="B5">
        <v>2</v>
      </c>
      <c r="C5">
        <v>1594</v>
      </c>
      <c r="D5">
        <v>33</v>
      </c>
      <c r="E5">
        <f t="shared" ref="E5:E18" si="1">+C5/33*1000</f>
        <v>48303.030303030304</v>
      </c>
      <c r="G5" s="2">
        <v>44413</v>
      </c>
      <c r="H5">
        <v>2</v>
      </c>
      <c r="I5">
        <v>710</v>
      </c>
      <c r="J5">
        <v>33</v>
      </c>
      <c r="K5">
        <f t="shared" si="0"/>
        <v>21515.151515151516</v>
      </c>
      <c r="L5">
        <f>+E5-K5</f>
        <v>26787.878787878788</v>
      </c>
      <c r="M5">
        <f t="shared" ref="M5:M18" si="2">+L5/21.5</f>
        <v>1245.9478505990135</v>
      </c>
    </row>
    <row r="6" spans="1:14" x14ac:dyDescent="0.25">
      <c r="A6" s="2">
        <v>44412</v>
      </c>
      <c r="B6">
        <v>3</v>
      </c>
      <c r="C6">
        <v>1733</v>
      </c>
      <c r="D6">
        <v>33</v>
      </c>
      <c r="E6">
        <f t="shared" si="1"/>
        <v>52515.151515151512</v>
      </c>
      <c r="G6" s="2">
        <v>44413</v>
      </c>
      <c r="H6">
        <v>3</v>
      </c>
      <c r="I6">
        <v>880</v>
      </c>
      <c r="J6">
        <v>33</v>
      </c>
      <c r="K6">
        <f t="shared" si="0"/>
        <v>26666.666666666668</v>
      </c>
      <c r="L6">
        <f t="shared" ref="L6:L18" si="3">+E6-K6</f>
        <v>25848.484848484844</v>
      </c>
      <c r="M6">
        <f t="shared" si="2"/>
        <v>1202.2551092318533</v>
      </c>
    </row>
    <row r="7" spans="1:14" x14ac:dyDescent="0.25">
      <c r="A7" s="2">
        <v>44412</v>
      </c>
      <c r="B7">
        <v>4</v>
      </c>
      <c r="C7">
        <v>1522</v>
      </c>
      <c r="D7">
        <v>33</v>
      </c>
      <c r="E7">
        <f t="shared" si="1"/>
        <v>46121.212121212127</v>
      </c>
      <c r="G7" s="2">
        <v>44413</v>
      </c>
      <c r="H7">
        <v>4</v>
      </c>
      <c r="I7">
        <v>756</v>
      </c>
      <c r="J7">
        <v>33</v>
      </c>
      <c r="K7">
        <f t="shared" si="0"/>
        <v>22909.090909090912</v>
      </c>
      <c r="L7">
        <f t="shared" si="3"/>
        <v>23212.121212121216</v>
      </c>
      <c r="M7">
        <f t="shared" si="2"/>
        <v>1079.6335447498241</v>
      </c>
    </row>
    <row r="8" spans="1:14" x14ac:dyDescent="0.25">
      <c r="A8" s="2">
        <v>44412</v>
      </c>
      <c r="B8">
        <v>5</v>
      </c>
      <c r="C8">
        <v>1484</v>
      </c>
      <c r="D8">
        <v>33</v>
      </c>
      <c r="E8">
        <f t="shared" si="1"/>
        <v>44969.696969696968</v>
      </c>
      <c r="G8" s="2">
        <v>44413</v>
      </c>
      <c r="H8">
        <v>5</v>
      </c>
      <c r="I8">
        <v>857</v>
      </c>
      <c r="J8">
        <v>33</v>
      </c>
      <c r="K8">
        <f t="shared" si="0"/>
        <v>25969.696969696968</v>
      </c>
      <c r="L8">
        <f t="shared" si="3"/>
        <v>19000</v>
      </c>
      <c r="M8">
        <f t="shared" si="2"/>
        <v>883.72093023255809</v>
      </c>
    </row>
    <row r="9" spans="1:14" x14ac:dyDescent="0.25">
      <c r="A9" s="2">
        <v>44412</v>
      </c>
      <c r="B9">
        <v>6</v>
      </c>
      <c r="C9">
        <v>1308</v>
      </c>
      <c r="D9">
        <v>33</v>
      </c>
      <c r="E9">
        <f t="shared" si="1"/>
        <v>39636.363636363632</v>
      </c>
      <c r="G9" s="2">
        <v>44413</v>
      </c>
      <c r="H9">
        <v>6</v>
      </c>
      <c r="I9">
        <v>737</v>
      </c>
      <c r="J9">
        <v>33</v>
      </c>
      <c r="K9">
        <f t="shared" si="0"/>
        <v>22333.333333333332</v>
      </c>
      <c r="L9">
        <f t="shared" si="3"/>
        <v>17303.0303030303</v>
      </c>
      <c r="M9">
        <f t="shared" si="2"/>
        <v>804.79210711768837</v>
      </c>
      <c r="N9">
        <f>AVERAGE(M9:M13)</f>
        <v>1083.2980972515857</v>
      </c>
    </row>
    <row r="10" spans="1:14" x14ac:dyDescent="0.25">
      <c r="A10" s="2">
        <v>44412</v>
      </c>
      <c r="B10">
        <v>7</v>
      </c>
      <c r="C10">
        <v>1554</v>
      </c>
      <c r="D10">
        <v>33</v>
      </c>
      <c r="E10">
        <f t="shared" si="1"/>
        <v>47090.909090909096</v>
      </c>
      <c r="G10" s="2">
        <v>44413</v>
      </c>
      <c r="H10">
        <v>7</v>
      </c>
      <c r="I10">
        <v>706</v>
      </c>
      <c r="J10">
        <v>33</v>
      </c>
      <c r="K10">
        <f t="shared" si="0"/>
        <v>21393.939393939396</v>
      </c>
      <c r="L10">
        <f t="shared" si="3"/>
        <v>25696.9696969697</v>
      </c>
      <c r="M10">
        <f t="shared" si="2"/>
        <v>1195.2078928823116</v>
      </c>
    </row>
    <row r="11" spans="1:14" x14ac:dyDescent="0.25">
      <c r="A11" s="2">
        <v>44412</v>
      </c>
      <c r="B11">
        <v>8</v>
      </c>
      <c r="C11">
        <v>1569</v>
      </c>
      <c r="D11">
        <v>33</v>
      </c>
      <c r="E11">
        <f t="shared" si="1"/>
        <v>47545.454545454544</v>
      </c>
      <c r="G11" s="2">
        <v>44413</v>
      </c>
      <c r="H11">
        <v>8</v>
      </c>
      <c r="I11">
        <v>716</v>
      </c>
      <c r="J11">
        <v>33</v>
      </c>
      <c r="K11">
        <f t="shared" si="0"/>
        <v>21696.969696969696</v>
      </c>
      <c r="L11">
        <f t="shared" si="3"/>
        <v>25848.484848484848</v>
      </c>
      <c r="M11">
        <f t="shared" si="2"/>
        <v>1202.2551092318533</v>
      </c>
    </row>
    <row r="12" spans="1:14" x14ac:dyDescent="0.25">
      <c r="A12" s="2">
        <v>44412</v>
      </c>
      <c r="B12">
        <v>9</v>
      </c>
      <c r="C12">
        <v>1572</v>
      </c>
      <c r="D12">
        <v>33</v>
      </c>
      <c r="E12">
        <f t="shared" si="1"/>
        <v>47636.363636363632</v>
      </c>
      <c r="G12" s="2">
        <v>44413</v>
      </c>
      <c r="H12">
        <v>9</v>
      </c>
      <c r="I12">
        <v>849</v>
      </c>
      <c r="J12">
        <v>33</v>
      </c>
      <c r="K12">
        <f t="shared" si="0"/>
        <v>25727.272727272728</v>
      </c>
      <c r="L12">
        <f t="shared" si="3"/>
        <v>21909.090909090904</v>
      </c>
      <c r="M12">
        <f t="shared" si="2"/>
        <v>1019.027484143763</v>
      </c>
    </row>
    <row r="13" spans="1:14" x14ac:dyDescent="0.25">
      <c r="A13" s="2">
        <v>44412</v>
      </c>
      <c r="B13">
        <v>10</v>
      </c>
      <c r="C13">
        <v>1560</v>
      </c>
      <c r="D13">
        <v>33</v>
      </c>
      <c r="E13">
        <f t="shared" si="1"/>
        <v>47272.727272727272</v>
      </c>
      <c r="G13" s="2">
        <v>44413</v>
      </c>
      <c r="H13">
        <v>10</v>
      </c>
      <c r="I13">
        <v>712</v>
      </c>
      <c r="J13">
        <v>33</v>
      </c>
      <c r="K13">
        <f t="shared" si="0"/>
        <v>21575.757575757576</v>
      </c>
      <c r="L13">
        <f t="shared" si="3"/>
        <v>25696.969696969696</v>
      </c>
      <c r="M13">
        <f t="shared" si="2"/>
        <v>1195.2078928823114</v>
      </c>
    </row>
    <row r="14" spans="1:14" x14ac:dyDescent="0.25">
      <c r="A14" s="2">
        <v>44412</v>
      </c>
      <c r="B14">
        <v>11</v>
      </c>
      <c r="C14">
        <v>1716</v>
      </c>
      <c r="D14">
        <v>33</v>
      </c>
      <c r="E14">
        <f t="shared" si="1"/>
        <v>52000</v>
      </c>
      <c r="G14" s="2">
        <v>44413</v>
      </c>
      <c r="H14">
        <v>11</v>
      </c>
      <c r="I14">
        <v>902</v>
      </c>
      <c r="J14">
        <v>33</v>
      </c>
      <c r="K14">
        <f>+I14/J14*1000</f>
        <v>27333.333333333332</v>
      </c>
      <c r="L14">
        <f t="shared" si="3"/>
        <v>24666.666666666668</v>
      </c>
      <c r="M14">
        <f t="shared" si="2"/>
        <v>1147.2868217054265</v>
      </c>
      <c r="N14">
        <f>AVERAGE(M14:M18)</f>
        <v>918.95701198026779</v>
      </c>
    </row>
    <row r="15" spans="1:14" x14ac:dyDescent="0.25">
      <c r="A15" s="2">
        <v>44412</v>
      </c>
      <c r="B15">
        <v>12</v>
      </c>
      <c r="C15">
        <v>1477</v>
      </c>
      <c r="D15">
        <v>33</v>
      </c>
      <c r="E15">
        <f t="shared" si="1"/>
        <v>44757.57575757576</v>
      </c>
      <c r="G15" s="2">
        <v>44413</v>
      </c>
      <c r="H15">
        <v>12</v>
      </c>
      <c r="I15">
        <v>896</v>
      </c>
      <c r="J15">
        <v>33</v>
      </c>
      <c r="K15">
        <f t="shared" si="0"/>
        <v>27151.515151515152</v>
      </c>
      <c r="L15">
        <f t="shared" si="3"/>
        <v>17606.060606060608</v>
      </c>
      <c r="M15">
        <f t="shared" si="2"/>
        <v>818.88653981677248</v>
      </c>
    </row>
    <row r="16" spans="1:14" x14ac:dyDescent="0.25">
      <c r="A16" s="2">
        <v>44412</v>
      </c>
      <c r="B16">
        <v>13</v>
      </c>
      <c r="C16">
        <v>1562</v>
      </c>
      <c r="D16">
        <v>33</v>
      </c>
      <c r="E16">
        <f t="shared" si="1"/>
        <v>47333.333333333336</v>
      </c>
      <c r="G16" s="2">
        <v>44413</v>
      </c>
      <c r="H16">
        <v>13</v>
      </c>
      <c r="I16">
        <v>1001</v>
      </c>
      <c r="J16">
        <v>33</v>
      </c>
      <c r="K16">
        <f t="shared" si="0"/>
        <v>30333.333333333332</v>
      </c>
      <c r="L16">
        <f t="shared" si="3"/>
        <v>17000.000000000004</v>
      </c>
      <c r="M16">
        <f t="shared" si="2"/>
        <v>790.69767441860483</v>
      </c>
    </row>
    <row r="17" spans="1:13" x14ac:dyDescent="0.25">
      <c r="A17" s="2">
        <v>44412</v>
      </c>
      <c r="B17">
        <v>14</v>
      </c>
      <c r="C17">
        <v>1624</v>
      </c>
      <c r="D17">
        <v>33</v>
      </c>
      <c r="E17">
        <f t="shared" si="1"/>
        <v>49212.121212121208</v>
      </c>
      <c r="G17" s="2">
        <v>44413</v>
      </c>
      <c r="H17">
        <v>14</v>
      </c>
      <c r="I17">
        <v>906</v>
      </c>
      <c r="J17">
        <v>33</v>
      </c>
      <c r="K17">
        <f t="shared" si="0"/>
        <v>27454.545454545452</v>
      </c>
      <c r="L17">
        <f t="shared" si="3"/>
        <v>21757.575757575756</v>
      </c>
      <c r="M17">
        <f t="shared" si="2"/>
        <v>1011.9802677942212</v>
      </c>
    </row>
    <row r="18" spans="1:13" x14ac:dyDescent="0.25">
      <c r="A18" s="2">
        <v>44412</v>
      </c>
      <c r="B18">
        <v>15</v>
      </c>
      <c r="C18">
        <v>1477</v>
      </c>
      <c r="D18">
        <v>33</v>
      </c>
      <c r="E18">
        <f t="shared" si="1"/>
        <v>44757.57575757576</v>
      </c>
      <c r="G18" s="2">
        <v>44413</v>
      </c>
      <c r="H18">
        <v>15</v>
      </c>
      <c r="I18">
        <v>891</v>
      </c>
      <c r="J18">
        <v>33</v>
      </c>
      <c r="K18">
        <f t="shared" si="0"/>
        <v>27000</v>
      </c>
      <c r="L18">
        <f t="shared" si="3"/>
        <v>17757.57575757576</v>
      </c>
      <c r="M18">
        <f t="shared" si="2"/>
        <v>825.93375616631442</v>
      </c>
    </row>
    <row r="20" spans="1:13" x14ac:dyDescent="0.25">
      <c r="A20" t="s">
        <v>26</v>
      </c>
      <c r="B20" s="7"/>
    </row>
    <row r="21" spans="1:13" x14ac:dyDescent="0.25">
      <c r="A21" s="6" t="s">
        <v>27</v>
      </c>
      <c r="B21" s="7"/>
    </row>
    <row r="27" spans="1:13" x14ac:dyDescent="0.25">
      <c r="C2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7" workbookViewId="0">
      <selection activeCell="B39" sqref="B39"/>
    </sheetView>
  </sheetViews>
  <sheetFormatPr defaultRowHeight="15" x14ac:dyDescent="0.25"/>
  <cols>
    <col min="1" max="1" width="9.7109375" bestFit="1" customWidth="1"/>
    <col min="3" max="3" width="10" bestFit="1" customWidth="1"/>
    <col min="7" max="7" width="10" bestFit="1" customWidth="1"/>
    <col min="32" max="32" width="15.28515625" customWidth="1"/>
  </cols>
  <sheetData>
    <row r="1" spans="1:14" x14ac:dyDescent="0.25">
      <c r="A1">
        <v>2</v>
      </c>
      <c r="B1" t="s">
        <v>19</v>
      </c>
      <c r="C1" t="s">
        <v>4</v>
      </c>
      <c r="H1" s="4" t="s">
        <v>21</v>
      </c>
      <c r="I1" t="s">
        <v>4</v>
      </c>
      <c r="M1" s="2"/>
    </row>
    <row r="2" spans="1:14" x14ac:dyDescent="0.25">
      <c r="A2" s="5"/>
      <c r="B2" t="s">
        <v>20</v>
      </c>
      <c r="C2" t="s">
        <v>5</v>
      </c>
      <c r="F2" s="5">
        <v>8.3333333333333329E-2</v>
      </c>
      <c r="G2" s="2">
        <v>44385</v>
      </c>
      <c r="H2" s="5"/>
      <c r="I2" t="s">
        <v>5</v>
      </c>
      <c r="L2" t="s">
        <v>9</v>
      </c>
      <c r="M2" t="s">
        <v>11</v>
      </c>
      <c r="N2" t="s">
        <v>13</v>
      </c>
    </row>
    <row r="3" spans="1:14" x14ac:dyDescent="0.25">
      <c r="A3" t="s">
        <v>2</v>
      </c>
      <c r="C3" t="s">
        <v>0</v>
      </c>
      <c r="D3" t="s">
        <v>1</v>
      </c>
      <c r="E3" t="s">
        <v>3</v>
      </c>
      <c r="F3" s="6"/>
      <c r="G3" s="5">
        <v>0.52083333333333337</v>
      </c>
      <c r="H3" t="s">
        <v>18</v>
      </c>
      <c r="I3" t="s">
        <v>0</v>
      </c>
      <c r="J3" t="s">
        <v>1</v>
      </c>
      <c r="K3" t="s">
        <v>6</v>
      </c>
      <c r="L3" t="s">
        <v>10</v>
      </c>
      <c r="M3" s="5" t="s">
        <v>12</v>
      </c>
      <c r="N3" t="s">
        <v>14</v>
      </c>
    </row>
    <row r="4" spans="1:14" x14ac:dyDescent="0.25">
      <c r="A4" s="2">
        <v>44413</v>
      </c>
      <c r="B4">
        <v>1</v>
      </c>
      <c r="C4" s="1">
        <v>986</v>
      </c>
      <c r="D4">
        <v>33</v>
      </c>
      <c r="E4">
        <f>+C4/33*1000</f>
        <v>29878.78787878788</v>
      </c>
      <c r="G4" s="2">
        <v>44414</v>
      </c>
      <c r="H4">
        <v>1</v>
      </c>
      <c r="I4">
        <v>884</v>
      </c>
      <c r="J4">
        <v>33</v>
      </c>
      <c r="K4">
        <f t="shared" ref="K4:K18" si="0">+I4/J4*1000</f>
        <v>26787.878787878788</v>
      </c>
      <c r="L4">
        <f>+E4-K4</f>
        <v>3090.9090909090919</v>
      </c>
      <c r="M4">
        <f>+L4/21.5</f>
        <v>143.76321353065543</v>
      </c>
      <c r="N4">
        <f>AVERAGE(M4:M8)</f>
        <v>177.87174066243821</v>
      </c>
    </row>
    <row r="5" spans="1:14" x14ac:dyDescent="0.25">
      <c r="A5" s="2">
        <v>44413</v>
      </c>
      <c r="B5">
        <v>2</v>
      </c>
      <c r="C5">
        <v>1017</v>
      </c>
      <c r="D5">
        <v>33</v>
      </c>
      <c r="E5">
        <f t="shared" ref="E5:E18" si="1">+C5/33*1000</f>
        <v>30818.181818181816</v>
      </c>
      <c r="G5" s="2">
        <v>44414</v>
      </c>
      <c r="H5">
        <v>2</v>
      </c>
      <c r="I5">
        <v>926</v>
      </c>
      <c r="J5">
        <v>33</v>
      </c>
      <c r="K5">
        <f t="shared" si="0"/>
        <v>28060.606060606064</v>
      </c>
      <c r="L5">
        <f>+E5-K5</f>
        <v>2757.5757575757525</v>
      </c>
      <c r="M5">
        <f t="shared" ref="M5:M18" si="2">+L5/21.5</f>
        <v>128.2593375616629</v>
      </c>
    </row>
    <row r="6" spans="1:14" x14ac:dyDescent="0.25">
      <c r="A6" s="2">
        <v>44413</v>
      </c>
      <c r="B6">
        <v>3</v>
      </c>
      <c r="C6">
        <v>1016</v>
      </c>
      <c r="D6">
        <v>33</v>
      </c>
      <c r="E6">
        <f t="shared" si="1"/>
        <v>30787.878787878788</v>
      </c>
      <c r="G6" s="2">
        <v>44414</v>
      </c>
      <c r="H6">
        <v>3</v>
      </c>
      <c r="I6">
        <v>841</v>
      </c>
      <c r="J6">
        <v>33</v>
      </c>
      <c r="K6">
        <f t="shared" si="0"/>
        <v>25484.848484848484</v>
      </c>
      <c r="L6">
        <f t="shared" ref="L6:L18" si="3">+E6-K6</f>
        <v>5303.0303030303039</v>
      </c>
      <c r="M6">
        <f t="shared" si="2"/>
        <v>246.65257223396762</v>
      </c>
    </row>
    <row r="7" spans="1:14" x14ac:dyDescent="0.25">
      <c r="A7" s="2">
        <v>44413</v>
      </c>
      <c r="B7">
        <v>4</v>
      </c>
      <c r="C7">
        <v>1055</v>
      </c>
      <c r="D7">
        <v>33</v>
      </c>
      <c r="E7">
        <f t="shared" si="1"/>
        <v>31969.696969696968</v>
      </c>
      <c r="G7" s="2">
        <v>44414</v>
      </c>
      <c r="H7">
        <v>4</v>
      </c>
      <c r="I7">
        <v>909</v>
      </c>
      <c r="J7">
        <v>33</v>
      </c>
      <c r="K7">
        <f t="shared" si="0"/>
        <v>27545.454545454548</v>
      </c>
      <c r="L7">
        <f t="shared" si="3"/>
        <v>4424.2424242424204</v>
      </c>
      <c r="M7">
        <f t="shared" si="2"/>
        <v>205.7787174066242</v>
      </c>
    </row>
    <row r="8" spans="1:14" x14ac:dyDescent="0.25">
      <c r="A8" s="2">
        <v>44413</v>
      </c>
      <c r="B8">
        <v>5</v>
      </c>
      <c r="C8">
        <v>939</v>
      </c>
      <c r="D8">
        <v>33</v>
      </c>
      <c r="E8">
        <f t="shared" si="1"/>
        <v>28454.545454545452</v>
      </c>
      <c r="G8" s="2">
        <v>44414</v>
      </c>
      <c r="H8">
        <v>5</v>
      </c>
      <c r="I8">
        <v>822</v>
      </c>
      <c r="J8">
        <v>33</v>
      </c>
      <c r="K8">
        <f t="shared" si="0"/>
        <v>24909.090909090912</v>
      </c>
      <c r="L8">
        <f t="shared" si="3"/>
        <v>3545.4545454545405</v>
      </c>
      <c r="M8">
        <f t="shared" si="2"/>
        <v>164.90486257928094</v>
      </c>
    </row>
    <row r="9" spans="1:14" x14ac:dyDescent="0.25">
      <c r="A9" s="2">
        <v>44413</v>
      </c>
      <c r="B9">
        <v>6</v>
      </c>
      <c r="C9">
        <v>1029</v>
      </c>
      <c r="D9">
        <v>33</v>
      </c>
      <c r="E9">
        <f t="shared" si="1"/>
        <v>31181.818181818184</v>
      </c>
      <c r="G9" s="2">
        <v>44414</v>
      </c>
      <c r="H9">
        <v>6</v>
      </c>
      <c r="I9">
        <v>876</v>
      </c>
      <c r="J9">
        <v>33</v>
      </c>
      <c r="K9">
        <f t="shared" si="0"/>
        <v>26545.454545454548</v>
      </c>
      <c r="L9">
        <f t="shared" si="3"/>
        <v>4636.363636363636</v>
      </c>
      <c r="M9">
        <f t="shared" si="2"/>
        <v>215.64482029598307</v>
      </c>
      <c r="N9">
        <f>AVERAGE(M9:M13)</f>
        <v>182.66384778012684</v>
      </c>
    </row>
    <row r="10" spans="1:14" x14ac:dyDescent="0.25">
      <c r="A10" s="2">
        <v>44413</v>
      </c>
      <c r="B10">
        <v>7</v>
      </c>
      <c r="C10">
        <v>964</v>
      </c>
      <c r="D10">
        <v>33</v>
      </c>
      <c r="E10">
        <f t="shared" si="1"/>
        <v>29212.121212121212</v>
      </c>
      <c r="G10" s="2">
        <v>44414</v>
      </c>
      <c r="H10">
        <v>7</v>
      </c>
      <c r="I10">
        <v>842</v>
      </c>
      <c r="J10">
        <v>33</v>
      </c>
      <c r="K10">
        <f t="shared" si="0"/>
        <v>25515.151515151516</v>
      </c>
      <c r="L10">
        <f t="shared" si="3"/>
        <v>3696.9696969696961</v>
      </c>
      <c r="M10">
        <f t="shared" si="2"/>
        <v>171.95207892882308</v>
      </c>
    </row>
    <row r="11" spans="1:14" x14ac:dyDescent="0.25">
      <c r="A11" s="2">
        <v>44413</v>
      </c>
      <c r="B11">
        <v>8</v>
      </c>
      <c r="C11">
        <v>951</v>
      </c>
      <c r="D11">
        <v>33</v>
      </c>
      <c r="E11">
        <f t="shared" si="1"/>
        <v>28818.181818181816</v>
      </c>
      <c r="G11" s="2">
        <v>44414</v>
      </c>
      <c r="H11">
        <v>8</v>
      </c>
      <c r="I11">
        <v>839</v>
      </c>
      <c r="J11">
        <v>33</v>
      </c>
      <c r="K11">
        <f t="shared" si="0"/>
        <v>25424.242424242424</v>
      </c>
      <c r="L11">
        <f t="shared" si="3"/>
        <v>3393.9393939393922</v>
      </c>
      <c r="M11">
        <f t="shared" si="2"/>
        <v>157.85764622973917</v>
      </c>
    </row>
    <row r="12" spans="1:14" x14ac:dyDescent="0.25">
      <c r="A12" s="2">
        <v>44413</v>
      </c>
      <c r="B12">
        <v>9</v>
      </c>
      <c r="C12">
        <v>980</v>
      </c>
      <c r="D12">
        <v>33</v>
      </c>
      <c r="E12">
        <f t="shared" si="1"/>
        <v>29696.969696969696</v>
      </c>
      <c r="G12" s="2">
        <v>44414</v>
      </c>
      <c r="H12">
        <v>9</v>
      </c>
      <c r="I12">
        <v>852</v>
      </c>
      <c r="J12">
        <v>33</v>
      </c>
      <c r="K12">
        <f t="shared" si="0"/>
        <v>25818.181818181816</v>
      </c>
      <c r="L12">
        <f t="shared" si="3"/>
        <v>3878.7878787878799</v>
      </c>
      <c r="M12">
        <f t="shared" si="2"/>
        <v>180.40873854827348</v>
      </c>
    </row>
    <row r="13" spans="1:14" x14ac:dyDescent="0.25">
      <c r="A13" s="2">
        <v>44413</v>
      </c>
      <c r="B13">
        <v>10</v>
      </c>
      <c r="C13">
        <v>1043</v>
      </c>
      <c r="D13">
        <v>33</v>
      </c>
      <c r="E13">
        <f t="shared" si="1"/>
        <v>31606.060606060604</v>
      </c>
      <c r="G13" s="2">
        <v>44414</v>
      </c>
      <c r="H13">
        <v>10</v>
      </c>
      <c r="I13">
        <v>910</v>
      </c>
      <c r="J13">
        <v>33</v>
      </c>
      <c r="K13">
        <f t="shared" si="0"/>
        <v>27575.757575757576</v>
      </c>
      <c r="L13">
        <f t="shared" si="3"/>
        <v>4030.3030303030282</v>
      </c>
      <c r="M13">
        <f t="shared" si="2"/>
        <v>187.45595489781527</v>
      </c>
    </row>
    <row r="14" spans="1:14" x14ac:dyDescent="0.25">
      <c r="A14" s="2">
        <v>44413</v>
      </c>
      <c r="B14">
        <v>11</v>
      </c>
      <c r="C14">
        <v>1585</v>
      </c>
      <c r="D14">
        <v>33</v>
      </c>
      <c r="E14">
        <f t="shared" si="1"/>
        <v>48030.303030303032</v>
      </c>
      <c r="G14" s="2">
        <v>44414</v>
      </c>
      <c r="H14">
        <v>11</v>
      </c>
      <c r="I14">
        <v>1366</v>
      </c>
      <c r="J14">
        <v>33</v>
      </c>
      <c r="K14">
        <f>+I14/J14*1000</f>
        <v>41393.939393939392</v>
      </c>
      <c r="L14">
        <f t="shared" si="3"/>
        <v>6636.3636363636397</v>
      </c>
      <c r="M14">
        <f t="shared" si="2"/>
        <v>308.66807610993675</v>
      </c>
      <c r="N14">
        <f>AVERAGE(M14:M18)</f>
        <v>367.30091613812539</v>
      </c>
    </row>
    <row r="15" spans="1:14" x14ac:dyDescent="0.25">
      <c r="A15" s="2">
        <v>44413</v>
      </c>
      <c r="B15">
        <v>12</v>
      </c>
      <c r="C15">
        <v>1634</v>
      </c>
      <c r="D15">
        <v>33</v>
      </c>
      <c r="E15">
        <f t="shared" si="1"/>
        <v>49515.151515151512</v>
      </c>
      <c r="G15" s="2">
        <v>44414</v>
      </c>
      <c r="H15">
        <v>12</v>
      </c>
      <c r="I15">
        <v>1265</v>
      </c>
      <c r="J15">
        <v>33</v>
      </c>
      <c r="K15">
        <f t="shared" si="0"/>
        <v>38333.333333333336</v>
      </c>
      <c r="L15">
        <f t="shared" si="3"/>
        <v>11181.818181818177</v>
      </c>
      <c r="M15">
        <f t="shared" si="2"/>
        <v>520.08456659619424</v>
      </c>
    </row>
    <row r="16" spans="1:14" x14ac:dyDescent="0.25">
      <c r="A16" s="2">
        <v>44413</v>
      </c>
      <c r="B16">
        <v>13</v>
      </c>
      <c r="C16">
        <v>1544</v>
      </c>
      <c r="D16">
        <v>33</v>
      </c>
      <c r="E16">
        <f t="shared" si="1"/>
        <v>46787.878787878792</v>
      </c>
      <c r="G16" s="2">
        <v>44414</v>
      </c>
      <c r="H16">
        <v>13</v>
      </c>
      <c r="I16">
        <v>1301</v>
      </c>
      <c r="J16">
        <v>33</v>
      </c>
      <c r="K16">
        <f t="shared" si="0"/>
        <v>39424.242424242424</v>
      </c>
      <c r="L16">
        <f t="shared" si="3"/>
        <v>7363.6363636363676</v>
      </c>
      <c r="M16">
        <f t="shared" si="2"/>
        <v>342.49471458773803</v>
      </c>
    </row>
    <row r="17" spans="1:13" x14ac:dyDescent="0.25">
      <c r="A17" s="2">
        <v>44413</v>
      </c>
      <c r="B17">
        <v>14</v>
      </c>
      <c r="C17">
        <v>1723</v>
      </c>
      <c r="D17">
        <v>33</v>
      </c>
      <c r="E17">
        <f t="shared" si="1"/>
        <v>52212.121212121208</v>
      </c>
      <c r="G17" s="2">
        <v>44414</v>
      </c>
      <c r="H17">
        <v>14</v>
      </c>
      <c r="I17">
        <v>1429</v>
      </c>
      <c r="J17">
        <v>33</v>
      </c>
      <c r="K17">
        <f t="shared" si="0"/>
        <v>43303.030303030304</v>
      </c>
      <c r="L17">
        <f t="shared" si="3"/>
        <v>8909.0909090909045</v>
      </c>
      <c r="M17">
        <f t="shared" si="2"/>
        <v>414.37632135306535</v>
      </c>
    </row>
    <row r="18" spans="1:13" x14ac:dyDescent="0.25">
      <c r="A18" s="2">
        <v>44413</v>
      </c>
      <c r="B18">
        <v>15</v>
      </c>
      <c r="C18">
        <v>1615</v>
      </c>
      <c r="D18">
        <v>33</v>
      </c>
      <c r="E18">
        <f t="shared" si="1"/>
        <v>48939.393939393936</v>
      </c>
      <c r="G18" s="2">
        <v>44414</v>
      </c>
      <c r="H18">
        <v>15</v>
      </c>
      <c r="I18">
        <v>1437</v>
      </c>
      <c r="J18">
        <v>33</v>
      </c>
      <c r="K18">
        <f t="shared" si="0"/>
        <v>43545.454545454544</v>
      </c>
      <c r="L18">
        <f t="shared" si="3"/>
        <v>5393.9393939393922</v>
      </c>
      <c r="M18">
        <f t="shared" si="2"/>
        <v>250.88090204369266</v>
      </c>
    </row>
    <row r="20" spans="1:13" x14ac:dyDescent="0.25">
      <c r="A20" t="s">
        <v>32</v>
      </c>
      <c r="B20" s="7"/>
    </row>
    <row r="21" spans="1:13" x14ac:dyDescent="0.25">
      <c r="A21" s="6"/>
      <c r="B21" s="7"/>
    </row>
    <row r="25" spans="1:13" x14ac:dyDescent="0.25">
      <c r="H25" s="6" t="s">
        <v>33</v>
      </c>
    </row>
    <row r="26" spans="1:13" x14ac:dyDescent="0.25">
      <c r="A26" t="s">
        <v>28</v>
      </c>
      <c r="B26">
        <v>19618</v>
      </c>
      <c r="C26">
        <v>33</v>
      </c>
      <c r="D26">
        <f>+B26/C26*2100/100*1000</f>
        <v>12484181.818181818</v>
      </c>
      <c r="F26">
        <f>+D26*30/10500</f>
        <v>35669.090909090912</v>
      </c>
      <c r="H26">
        <f>+F26+F27</f>
        <v>48203.172121212127</v>
      </c>
    </row>
    <row r="27" spans="1:13" x14ac:dyDescent="0.25">
      <c r="A27" t="s">
        <v>29</v>
      </c>
      <c r="B27">
        <v>22214</v>
      </c>
      <c r="C27">
        <v>33</v>
      </c>
      <c r="D27">
        <f>+B27/C27*2100/100*1000</f>
        <v>14136181.818181818</v>
      </c>
      <c r="F27">
        <f>+D27*9.31/10500</f>
        <v>12534.081212121213</v>
      </c>
    </row>
    <row r="28" spans="1:13" x14ac:dyDescent="0.25">
      <c r="A28" t="s">
        <v>31</v>
      </c>
      <c r="B28">
        <v>7793</v>
      </c>
      <c r="C28">
        <v>33</v>
      </c>
      <c r="D28">
        <f>+B28/C28*2100/100*1000</f>
        <v>4959181.8181818184</v>
      </c>
    </row>
    <row r="29" spans="1:13" x14ac:dyDescent="0.25">
      <c r="A29" t="s">
        <v>7</v>
      </c>
      <c r="B29">
        <v>3675</v>
      </c>
      <c r="C29">
        <v>33</v>
      </c>
      <c r="D29">
        <f>+B29/C29*2100/100*1000</f>
        <v>2338636.3636363633</v>
      </c>
    </row>
    <row r="32" spans="1:13" x14ac:dyDescent="0.25">
      <c r="J32">
        <f>(28)/33*1000</f>
        <v>848.4848484848485</v>
      </c>
    </row>
    <row r="33" spans="2:7" x14ac:dyDescent="0.25">
      <c r="B33">
        <f>+D26*10.08/10500</f>
        <v>11984.814545454547</v>
      </c>
      <c r="E33">
        <v>8.94</v>
      </c>
      <c r="G33">
        <f>E33*2/51.24</f>
        <v>0.34894613583138168</v>
      </c>
    </row>
    <row r="34" spans="2:7" x14ac:dyDescent="0.25">
      <c r="B34">
        <f>+D27*8.94/10500</f>
        <v>12035.949090909091</v>
      </c>
      <c r="E34">
        <f>11.52*2</f>
        <v>23.04</v>
      </c>
      <c r="G34">
        <f>E34*2/51.24</f>
        <v>0.89929742388758771</v>
      </c>
    </row>
    <row r="35" spans="2:7" x14ac:dyDescent="0.25">
      <c r="B35">
        <f>+D28*(23.04)/10500</f>
        <v>10881.861818181818</v>
      </c>
      <c r="C35">
        <f>+B35/2</f>
        <v>5440.9309090909092</v>
      </c>
      <c r="E35">
        <v>10.08</v>
      </c>
      <c r="G35">
        <f>E35*2/51.24</f>
        <v>0.39344262295081966</v>
      </c>
    </row>
    <row r="36" spans="2:7" x14ac:dyDescent="0.25">
      <c r="B36">
        <f>+D29*(4.59*2)/10500</f>
        <v>2044.6363636363631</v>
      </c>
      <c r="C36">
        <f>+B36/2</f>
        <v>1022.3181818181815</v>
      </c>
      <c r="E36">
        <f>4.59*2</f>
        <v>9.18</v>
      </c>
      <c r="G36">
        <f>E36*2/51.24</f>
        <v>0.35831381733021073</v>
      </c>
    </row>
    <row r="37" spans="2:7" x14ac:dyDescent="0.25">
      <c r="E37">
        <f>SUM(E33:E36)</f>
        <v>51.239999999999995</v>
      </c>
    </row>
    <row r="38" spans="2:7" x14ac:dyDescent="0.25">
      <c r="B38">
        <f>SUM(B33:B36)</f>
        <v>36947.261818181818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feeding 7-27 to 7-28</vt:lpstr>
      <vt:lpstr>feeding 7-28 to 7-29</vt:lpstr>
      <vt:lpstr>feeding 7-29 to 7-30</vt:lpstr>
      <vt:lpstr>feeding 7-31 to 8-2</vt:lpstr>
      <vt:lpstr>feeding 8-1 to 8-2</vt:lpstr>
      <vt:lpstr>feeding 8-2 to 8-3</vt:lpstr>
      <vt:lpstr>feeding 8-3 to 8-4</vt:lpstr>
      <vt:lpstr>feeding 8-4 to 8-5</vt:lpstr>
      <vt:lpstr>feeding 8-5 to 8-6</vt:lpstr>
      <vt:lpstr>feeding 8-6 to 8-7</vt:lpstr>
      <vt:lpstr>feeding 8-7 to 8-8</vt:lpstr>
      <vt:lpstr>feeding 8-8 to 8-9</vt:lpstr>
      <vt:lpstr>feeding 8-10 to 8-10</vt:lpstr>
      <vt:lpstr>feeding 8-11 to 8-12</vt:lpstr>
      <vt:lpstr>downwellers 8-16-21021</vt:lpstr>
      <vt:lpstr>downwellers 8-20-21</vt:lpstr>
      <vt:lpstr>downwellers 8-24-21</vt:lpstr>
      <vt:lpstr>downwellers 8-27-21</vt:lpstr>
      <vt:lpstr>downwellers 9-1-21</vt:lpstr>
      <vt:lpstr>downwellers 9-2-21</vt:lpstr>
      <vt:lpstr>downwellers 9-8-21</vt:lpstr>
      <vt:lpstr>downwellers 9-10-21</vt:lpstr>
      <vt:lpstr>downwellers 9-13-21</vt:lpstr>
      <vt:lpstr>downwellers 9-15-21</vt:lpstr>
      <vt:lpstr>DOWNWELLERS 9-16-21</vt:lpstr>
      <vt:lpstr>DOWNWELLERS 9-20-21 mORNING</vt:lpstr>
      <vt:lpstr>DOWNWELLERS 9-20-21 AFTERNOON</vt:lpstr>
      <vt:lpstr>DOWNWELLERS 9-21-21 MORNING</vt:lpstr>
      <vt:lpstr>DOWNWELLERS 9-22-21</vt:lpstr>
      <vt:lpstr>DOWNWELLERS 9-23-21</vt:lpstr>
      <vt:lpstr>DOWNWELLERS 9-27-21 </vt:lpstr>
      <vt:lpstr>DOWNWELLERS 9-28-21</vt:lpstr>
      <vt:lpstr>DOWNWELLERS 9-30-21</vt:lpstr>
      <vt:lpstr>DOWNWELLERS 10-04-21</vt:lpstr>
      <vt:lpstr>DOWNWELLERS 10-05-21</vt:lpstr>
      <vt:lpstr>DOWNWELLERS 10-06-21</vt:lpstr>
      <vt:lpstr>DOWNWELLERS 10-07-21</vt:lpstr>
      <vt:lpstr>DOWNWELLERS 10-12-21</vt:lpstr>
      <vt:lpstr>DOWNWELLERS 10-13-21</vt:lpstr>
      <vt:lpstr>DOWNWELLERS 10-14-21 </vt:lpstr>
      <vt:lpstr>DOWNWELLERS 10-18-21</vt:lpstr>
      <vt:lpstr>DOWNWELLERS 10-19-21</vt:lpstr>
      <vt:lpstr>DOWNWELLERS 10-21-21</vt:lpstr>
      <vt:lpstr>DOWNWELLERS 10-27-2021</vt:lpstr>
      <vt:lpstr>DOWNWELLERS 11-01-21</vt:lpstr>
      <vt:lpstr>DOWNWELLERS 11-02-2021</vt:lpstr>
      <vt:lpstr>DOWNWELLERS 11-03-2021</vt:lpstr>
      <vt:lpstr>DOWNWELLERS 11-09-2021</vt:lpstr>
      <vt:lpstr>DOWNWELLERS 11-10-2021</vt:lpstr>
      <vt:lpstr>DOWNWELLERS 11-15-2021</vt:lpstr>
      <vt:lpstr>DOWNWELLERS 10-04-2021 NEW GATE</vt:lpstr>
      <vt:lpstr>DOWNWELLERS 11-16-2021 </vt:lpstr>
      <vt:lpstr>DOWNWELLERS 11-18-21</vt:lpstr>
      <vt:lpstr>DOWNWELLERS 11-23-21</vt:lpstr>
      <vt:lpstr>DOWNWELLERS 11-23-21.afternoon</vt:lpstr>
      <vt:lpstr>DOWNWELLERS 11-30-21 (2)</vt:lpstr>
      <vt:lpstr>DOWNWELLERS 12-1-21</vt:lpstr>
      <vt:lpstr>DOWNWELLERS 12-2-21</vt:lpstr>
      <vt:lpstr>DOWNWELLERS 12-6-21 </vt:lpstr>
      <vt:lpstr>DOWNWELLERS 12-8-21</vt:lpstr>
      <vt:lpstr>DOWNWELLERS 12-9-21</vt:lpstr>
      <vt:lpstr>DOWNWELLERS 12-13-21</vt:lpstr>
      <vt:lpstr>DOWNWELLERS 12-14-21</vt:lpstr>
      <vt:lpstr>DOWNWELLERS 12-15-21</vt:lpstr>
      <vt:lpstr>DOWNWELLERS 12-16-21</vt:lpstr>
      <vt:lpstr>DOWNWELLERS 12-21-21</vt:lpstr>
      <vt:lpstr>DOWNWELLERS 12-27-21</vt:lpstr>
      <vt:lpstr>DOWNWELLERS 12-28-21</vt:lpstr>
      <vt:lpstr>DOWNWELLERS 12-29-21</vt:lpstr>
    </vt:vector>
  </TitlesOfParts>
  <Company>NEFSC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2021-07-08T16:12:19Z</dcterms:created>
  <dcterms:modified xsi:type="dcterms:W3CDTF">2021-12-29T16:52:41Z</dcterms:modified>
</cp:coreProperties>
</file>